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Kuuomzhu3jjZh8uI08MsidiKxzb4Z6uqfJPEOzTWTFvVoW+zVACRypKukVH/Iark1VDTiQC+5NM4X0H/mecqCQ==" workbookSaltValue="9lm10idaErqFraUSYHNw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G10"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16" i="16"/>
  <c r="Q18" i="20"/>
  <c r="Q20" i="20" s="1"/>
  <c r="BF18" i="11"/>
  <c r="BK19" i="11"/>
  <c r="BK9" i="11"/>
  <c r="S14" i="16"/>
  <c r="P14" i="16"/>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Z14" i="17"/>
  <c r="R21" i="8"/>
  <c r="AY14" i="8"/>
  <c r="F13" i="2"/>
  <c r="H12"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X12" i="21"/>
  <c r="BH11" i="16"/>
  <c r="T9" i="11"/>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9" i="11"/>
  <c r="BK13" i="11"/>
  <c r="BH18" i="16"/>
  <c r="BG12" i="13"/>
  <c r="F11" i="16"/>
  <c r="BL11" i="16" s="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<sst xmlns="http://schemas.openxmlformats.org/spreadsheetml/2006/main" count="2229" uniqueCount="979">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</sst>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Zzc8/XJuGafm85QKbH5l1IXYppGX40YoP0fg/uL1oImKYFu/CGxd0mtQoN6Q1LXuTB/Ou1swbfkCi6jc1/JVA==" saltValue="LTsMiQEtlY9XZJxK1muv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14</v>
      </c>
      <c r="D10" s="230">
        <f>IF(ISNUMBER(Datos!I10),Datos!I10," - ")</f>
        <v>14</v>
      </c>
      <c r="E10" s="231">
        <f>IF(ISNUMBER(Datos!J10),Datos!J10," - ")</f>
        <v>5</v>
      </c>
      <c r="F10" s="231">
        <f>IF(ISNUMBER(Datos!K10),Datos!K10," - ")</f>
        <v>2</v>
      </c>
      <c r="G10" s="1193" t="str">
        <f>IF(Datos!E10&lt;&gt;"",Datos!E10,Datos!D10)</f>
        <v>37</v>
      </c>
      <c r="H10" s="232">
        <f>IF(ISNUMBER(Datos!L10),Datos!L10," - ")</f>
        <v>17</v>
      </c>
      <c r="I10" s="1203" t="str">
        <f>IF(ISNUMBER(Datos!AS10/Datos!BM10),Datos!AS10/Datos!BM10," - ")</f>
        <v xml:space="preserve"> - </v>
      </c>
      <c r="J10" s="1204">
        <f>IF(ISNUMBER(Datos!BY10/Datos!CN10),Datos!BY10/Datos!CN10," - ")</f>
        <v>0</v>
      </c>
      <c r="K10" s="235">
        <f t="shared" ref="K10:K13" si="1">IF(ISNUMBER((E10-F10)/C10),(E10-F10)/C10," - ")</f>
        <v>0.21428571428571427</v>
      </c>
      <c r="L10" s="1205">
        <f>IF(ISNUMBER(NºAsuntos!I10/NºAsuntos!G10),(NºAsuntos!I10/NºAsuntos!G10)*11," - ")</f>
        <v>93.5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68.391304347826093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v>
      </c>
      <c r="D14" s="1210">
        <f>SUBTOTAL(9,D9:D13)</f>
        <v>14</v>
      </c>
      <c r="E14" s="1211">
        <f>SUBTOTAL(9,E9:E13)</f>
        <v>5</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669</v>
      </c>
      <c r="D17" s="230">
        <f>IF(ISNUMBER(IF(D_I="SI",Datos!I17,Datos!I17+Datos!AC17)),IF(D_I="SI",Datos!I17,Datos!I17+Datos!AC17)," - ")</f>
        <v>662</v>
      </c>
      <c r="E17" s="231">
        <f>IF(ISNUMBER(IF(D_I="SI",Datos!J17,Datos!J17+Datos!AD17)),IF(D_I="SI",Datos!J17,Datos!J17+Datos!AD17)," - ")</f>
        <v>416</v>
      </c>
      <c r="F17" s="231">
        <f>IF(ISNUMBER(IF(D_I="SI",Datos!K17,Datos!K17+Datos!AE17)),IF(D_I="SI",Datos!K17,Datos!K17+Datos!AE17)," - ")</f>
        <v>352</v>
      </c>
      <c r="G17" s="1193" t="str">
        <f>IF(Datos!E17&lt;&gt;"",Datos!E17,Datos!D17)</f>
        <v>04</v>
      </c>
      <c r="H17" s="232">
        <f>IF(ISNUMBER(IF(D_I="SI",Datos!L17,Datos!L17+Datos!AF17)),IF(D_I="SI",Datos!L17,Datos!L17+Datos!AF17)," - ")</f>
        <v>733</v>
      </c>
      <c r="I17" s="1203" t="str">
        <f>IF(ISNUMBER(Datos!AS17/Datos!BM17),Datos!AS17/Datos!BM17," - ")</f>
        <v xml:space="preserve"> - </v>
      </c>
      <c r="J17" s="1204">
        <f>IF(ISNUMBER(Datos!BY17/Datos!CN17),Datos!BY17/Datos!CN17," - ")</f>
        <v>0</v>
      </c>
      <c r="K17" s="235">
        <f t="shared" si="3"/>
        <v>9.5665171898355758E-2</v>
      </c>
      <c r="L17" s="1205">
        <f>IF(ISNUMBER(NºAsuntos!I17/NºAsuntos!G17),(NºAsuntos!I17/NºAsuntos!G17)*11," - ")</f>
        <v>22.90625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59</v>
      </c>
      <c r="D18" s="230">
        <f>IF(ISNUMBER(IF(D_I="SI",Datos!I18,Datos!I18+Datos!AC18)),IF(D_I="SI",Datos!I18,Datos!I18+Datos!AC18)," - ")</f>
        <v>59</v>
      </c>
      <c r="E18" s="231">
        <f>IF(ISNUMBER(IF(D_I="SI",Datos!J18,Datos!J18+Datos!AD18)),IF(D_I="SI",Datos!J18,Datos!J18+Datos!AD18)," - ")</f>
        <v>29</v>
      </c>
      <c r="F18" s="231">
        <f>IF(ISNUMBER(IF(D_I="SI",Datos!K18,Datos!K18+Datos!AE18)),IF(D_I="SI",Datos!K18,Datos!K18+Datos!AE18)," - ")</f>
        <v>48</v>
      </c>
      <c r="G18" s="1193" t="str">
        <f>IF(Datos!E18&lt;&gt;"",Datos!E18,Datos!D18)</f>
        <v>37</v>
      </c>
      <c r="H18" s="232">
        <f>IF(ISNUMBER(IF(D_I="SI",Datos!L18,Datos!L18+Datos!AF18)),IF(D_I="SI",Datos!L18,Datos!L18+Datos!AF18)," - ")</f>
        <v>40</v>
      </c>
      <c r="I18" s="1203" t="str">
        <f>IF(ISNUMBER(Datos!AS18/Datos!BM18),Datos!AS18/Datos!BM18," - ")</f>
        <v xml:space="preserve"> - </v>
      </c>
      <c r="J18" s="1204" t="str">
        <f>IF(ISNUMBER((Datos!BY18+Datos!BZ18)/Datos!CN18),(Datos!BY18+Datos!BZ18)/Datos!CN18," - ")</f>
        <v xml:space="preserve"> - </v>
      </c>
      <c r="K18" s="235">
        <f t="shared" si="3"/>
        <v>-0.32203389830508472</v>
      </c>
      <c r="L18" s="1205">
        <f>IF(ISNUMBER(NºAsuntos!I18/NºAsuntos!G18),(NºAsuntos!I18/NºAsuntos!G18)*11," - ")</f>
        <v>9.1666666666666679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728</v>
      </c>
      <c r="D20" s="1210">
        <f>SUBTOTAL(9,D16:D19)</f>
        <v>721</v>
      </c>
      <c r="E20" s="1211">
        <f>SUBTOTAL(9,E16:E19)</f>
        <v>445</v>
      </c>
      <c r="F20" s="1211">
        <f>SUBTOTAL(9,F16:F19)</f>
        <v>400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742</v>
      </c>
      <c r="D21" s="1232">
        <f>SUBTOTAL(9,D9:D20)</f>
        <v>735</v>
      </c>
      <c r="E21" s="1233">
        <f>SUBTOTAL(9,E9:E20)</f>
        <v>450</v>
      </c>
      <c r="F21" s="1233">
        <f>SUBTOTAL(9,F9:F20)</f>
        <v>402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8XX0FinErnR+1E86Yh2kn0BjOIYl9pjzt7cppnyZqgBpjJ+k/pIZuCmYx3cLl+cfM2LWFH2UUHAYD4ZQvB0nkQ==" saltValue="TWlUCNazKGWZWW45tzTVA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agY3NLcrZ5oejqJGR8RaNxnHqHAMyPste8vTu8xOpMXm0BUAHoedNbKtT/CHTOBJ8UKZHy/1W4bq5dwJOOgfA==" saltValue="rJt5ul46Wk5/NyiVBuzf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14</v>
      </c>
      <c r="J10" s="186">
        <v>5</v>
      </c>
      <c r="K10" s="186">
        <v>2</v>
      </c>
      <c r="L10" s="186">
        <v>17</v>
      </c>
      <c r="M10" s="186">
        <v>2</v>
      </c>
      <c r="N10" s="186">
        <v>0</v>
      </c>
      <c r="O10" s="186">
        <v>0</v>
      </c>
      <c r="P10" s="186">
        <v>0</v>
      </c>
      <c r="Q10" s="186">
        <v>0</v>
      </c>
      <c r="R10" s="186">
        <v>19</v>
      </c>
      <c r="S10" s="186">
        <v>20</v>
      </c>
      <c r="T10" s="186">
        <v>3</v>
      </c>
      <c r="U10" s="186">
        <v>3</v>
      </c>
      <c r="V10" s="186">
        <v>20</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20</v>
      </c>
      <c r="AZ10" s="131">
        <f t="shared" si="0"/>
        <v>3</v>
      </c>
      <c r="BA10" s="131">
        <f t="shared" si="0"/>
        <v>3</v>
      </c>
      <c r="BB10" s="131">
        <f t="shared" si="0"/>
        <v>20</v>
      </c>
      <c r="BC10" s="127">
        <f t="shared" si="0"/>
        <v>3</v>
      </c>
      <c r="BD10" s="128">
        <f>IF(ISNUMBER(BA10/AZ10),BA10/AZ10," - ")</f>
        <v>1</v>
      </c>
      <c r="BE10" s="129">
        <f>IF(ISNUMBER(BB10/BA10),BB10/BA10, " - ")</f>
        <v>6.666666666666667</v>
      </c>
      <c r="BF10" s="129">
        <f>IF(ISNUMBER(BC10/BA10),BC10/BA10, " - ")</f>
        <v>1</v>
      </c>
      <c r="BG10" s="201">
        <f>IF(ISNUMBER((AY10+AZ10)/BA10),(AY10+AZ10)/BA10," - ")</f>
        <v>7.666666666666667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1820</v>
      </c>
      <c r="J12" s="188">
        <v>530</v>
      </c>
      <c r="K12" s="188">
        <v>312</v>
      </c>
      <c r="L12" s="188">
        <v>1979</v>
      </c>
      <c r="M12" s="188">
        <v>80</v>
      </c>
      <c r="N12" s="188">
        <v>111</v>
      </c>
      <c r="O12" s="186">
        <v>165</v>
      </c>
      <c r="P12" s="188">
        <v>118</v>
      </c>
      <c r="Q12" s="188">
        <v>53</v>
      </c>
      <c r="R12" s="188">
        <v>2588</v>
      </c>
      <c r="S12" s="188">
        <v>1488</v>
      </c>
      <c r="T12" s="188">
        <v>526</v>
      </c>
      <c r="U12" s="188">
        <v>440</v>
      </c>
      <c r="V12" s="188">
        <v>1574</v>
      </c>
      <c r="W12" s="188">
        <v>153</v>
      </c>
      <c r="X12" s="194">
        <v>125</v>
      </c>
      <c r="Y12" s="196">
        <v>156</v>
      </c>
      <c r="Z12" s="186">
        <v>43</v>
      </c>
      <c r="AA12" s="186">
        <v>33</v>
      </c>
      <c r="AB12" s="186">
        <v>166</v>
      </c>
      <c r="AC12" s="188">
        <v>0</v>
      </c>
      <c r="AD12" s="188">
        <v>0</v>
      </c>
      <c r="AE12" s="188">
        <v>0</v>
      </c>
      <c r="AF12" s="194">
        <v>0</v>
      </c>
      <c r="AG12" s="207">
        <v>124</v>
      </c>
      <c r="AH12" s="188">
        <v>54</v>
      </c>
      <c r="AI12" s="188">
        <v>64</v>
      </c>
      <c r="AJ12" s="208">
        <v>114</v>
      </c>
      <c r="AK12" s="187">
        <v>0</v>
      </c>
      <c r="AL12" s="188">
        <v>0</v>
      </c>
      <c r="AM12" s="188">
        <v>0</v>
      </c>
      <c r="AN12" s="194">
        <v>0</v>
      </c>
      <c r="AO12" s="264">
        <v>3</v>
      </c>
      <c r="AP12" s="160">
        <v>3</v>
      </c>
      <c r="AQ12" s="160">
        <v>3</v>
      </c>
      <c r="AR12" s="159">
        <v>3</v>
      </c>
      <c r="AS12" s="350" t="s">
        <v>874</v>
      </c>
      <c r="AT12" s="208"/>
      <c r="AU12" s="207"/>
      <c r="AV12" s="208"/>
      <c r="AW12" s="207"/>
      <c r="AX12" s="208"/>
      <c r="AY12" s="128">
        <f t="shared" si="1"/>
        <v>1612</v>
      </c>
      <c r="AZ12" s="129">
        <f t="shared" si="1"/>
        <v>580</v>
      </c>
      <c r="BA12" s="129">
        <f t="shared" si="1"/>
        <v>504</v>
      </c>
      <c r="BB12" s="129">
        <f t="shared" si="1"/>
        <v>1688</v>
      </c>
      <c r="BC12" s="127">
        <f>IF(ISNUMBER(X12),X12," - ")</f>
        <v>125</v>
      </c>
      <c r="BD12" s="128">
        <f t="shared" si="2"/>
        <v>0.86896551724137927</v>
      </c>
      <c r="BE12" s="129">
        <f t="shared" si="3"/>
        <v>3.3492063492063493</v>
      </c>
      <c r="BF12" s="129">
        <f t="shared" si="4"/>
        <v>0.24801587301587302</v>
      </c>
      <c r="BG12" s="201">
        <f t="shared" si="5"/>
        <v>4.3492063492063489</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1834</v>
      </c>
      <c r="J14" s="189">
        <f t="shared" si="7"/>
        <v>535</v>
      </c>
      <c r="K14" s="189">
        <f t="shared" si="7"/>
        <v>314</v>
      </c>
      <c r="L14" s="189">
        <f t="shared" si="7"/>
        <v>1996</v>
      </c>
      <c r="M14" s="189">
        <f t="shared" si="7"/>
        <v>82</v>
      </c>
      <c r="N14" s="189">
        <f t="shared" si="7"/>
        <v>111</v>
      </c>
      <c r="O14" s="189">
        <f t="shared" si="7"/>
        <v>165</v>
      </c>
      <c r="P14" s="189">
        <f t="shared" si="7"/>
        <v>118</v>
      </c>
      <c r="Q14" s="189">
        <f t="shared" si="7"/>
        <v>53</v>
      </c>
      <c r="R14" s="189">
        <f t="shared" si="7"/>
        <v>2607</v>
      </c>
      <c r="S14" s="189">
        <f t="shared" si="7"/>
        <v>1508</v>
      </c>
      <c r="T14" s="189">
        <f t="shared" si="7"/>
        <v>529</v>
      </c>
      <c r="U14" s="189">
        <f t="shared" si="7"/>
        <v>443</v>
      </c>
      <c r="V14" s="189">
        <f t="shared" si="7"/>
        <v>1594</v>
      </c>
      <c r="W14" s="189">
        <f t="shared" si="7"/>
        <v>156</v>
      </c>
      <c r="X14" s="189">
        <f t="shared" si="7"/>
        <v>125</v>
      </c>
      <c r="Y14" s="189">
        <f t="shared" si="7"/>
        <v>156</v>
      </c>
      <c r="Z14" s="189">
        <f t="shared" si="7"/>
        <v>43</v>
      </c>
      <c r="AA14" s="189">
        <f t="shared" si="7"/>
        <v>33</v>
      </c>
      <c r="AB14" s="189">
        <f t="shared" si="7"/>
        <v>166</v>
      </c>
      <c r="AC14" s="189">
        <f t="shared" si="7"/>
        <v>0</v>
      </c>
      <c r="AD14" s="189">
        <f t="shared" si="7"/>
        <v>0</v>
      </c>
      <c r="AE14" s="189">
        <f t="shared" si="7"/>
        <v>0</v>
      </c>
      <c r="AF14" s="189">
        <f>SUBTOTAL(9,AF9:AF13)</f>
        <v>0</v>
      </c>
      <c r="AG14" s="189">
        <f t="shared" ref="AG14:AT14" si="8">SUBTOTAL(9,AG8:AG13)</f>
        <v>124</v>
      </c>
      <c r="AH14" s="189">
        <f t="shared" si="8"/>
        <v>54</v>
      </c>
      <c r="AI14" s="189">
        <f t="shared" si="8"/>
        <v>64</v>
      </c>
      <c r="AJ14" s="189">
        <f t="shared" si="8"/>
        <v>114</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1632</v>
      </c>
      <c r="AZ14" s="189">
        <f>SUBTOTAL(9,AZ8:AZ13)</f>
        <v>583</v>
      </c>
      <c r="BA14" s="189">
        <f>SUBTOTAL(9,BA8:BA13)</f>
        <v>507</v>
      </c>
      <c r="BB14" s="189">
        <f>SUBTOTAL(9,BB8:BB13)</f>
        <v>1708</v>
      </c>
      <c r="BC14" s="189">
        <f>SUBTOTAL(9,BC8:BC13)</f>
        <v>128</v>
      </c>
      <c r="BD14" s="210">
        <f>IF(ISNUMBER(BA14/AZ14),BA14/AZ14," - ")</f>
        <v>0.869639794168096</v>
      </c>
      <c r="BE14" s="211">
        <f>IF(ISNUMBER(BB14/BA14),BB14/BA14, " - ")</f>
        <v>3.3688362919132149</v>
      </c>
      <c r="BF14" s="211">
        <f>IF(ISNUMBER(BC14/BA14),BC14/BA14, " - ")</f>
        <v>0.25246548323471402</v>
      </c>
      <c r="BG14" s="212">
        <f>IF(ISNUMBER((AY14+AZ14)/BA14),(AY14+AZ14)/BA14," - ")</f>
        <v>4.3688362919132153</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662</v>
      </c>
      <c r="J17" s="188">
        <v>416</v>
      </c>
      <c r="K17" s="188">
        <v>352</v>
      </c>
      <c r="L17" s="188">
        <v>733</v>
      </c>
      <c r="M17" s="188">
        <v>51</v>
      </c>
      <c r="N17" s="188">
        <v>239</v>
      </c>
      <c r="O17" s="186">
        <v>2</v>
      </c>
      <c r="P17" s="188">
        <v>28</v>
      </c>
      <c r="Q17" s="188">
        <v>3</v>
      </c>
      <c r="R17" s="188">
        <v>92</v>
      </c>
      <c r="S17" s="188">
        <v>506</v>
      </c>
      <c r="T17" s="188">
        <v>609</v>
      </c>
      <c r="U17" s="188">
        <v>599</v>
      </c>
      <c r="V17" s="188">
        <v>518</v>
      </c>
      <c r="W17" s="188">
        <v>92</v>
      </c>
      <c r="X17" s="194">
        <v>410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506</v>
      </c>
      <c r="AZ17" s="129">
        <f t="shared" si="10"/>
        <v>609</v>
      </c>
      <c r="BA17" s="129">
        <f t="shared" si="10"/>
        <v>599</v>
      </c>
      <c r="BB17" s="129">
        <f t="shared" si="10"/>
        <v>518</v>
      </c>
      <c r="BC17" s="127">
        <f>IF(ISNUMBER(W17),W17," - ")</f>
        <v>92</v>
      </c>
      <c r="BD17" s="128">
        <f t="shared" ref="BD17:BD19" si="12">IF(ISNUMBER(BA17/AZ17),BA17/AZ17," - ")</f>
        <v>0.98357963875205257</v>
      </c>
      <c r="BE17" s="129">
        <f t="shared" ref="BE17:BE19" si="13">IF(ISNUMBER(BB17/BA17),BB17/BA17, " - ")</f>
        <v>0.86477462437395658</v>
      </c>
      <c r="BF17" s="129">
        <f t="shared" ref="BF17:BF19" si="14">IF(ISNUMBER(BC17/BA17),BC17/BA17, " - ")</f>
        <v>0.15358931552587646</v>
      </c>
      <c r="BG17" s="201">
        <f t="shared" si="11"/>
        <v>1.8614357262103507</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59</v>
      </c>
      <c r="J18" s="188">
        <v>29</v>
      </c>
      <c r="K18" s="188">
        <v>48</v>
      </c>
      <c r="L18" s="188">
        <v>40</v>
      </c>
      <c r="M18" s="188">
        <v>3</v>
      </c>
      <c r="N18" s="188">
        <v>33</v>
      </c>
      <c r="O18" s="188">
        <v>0</v>
      </c>
      <c r="P18" s="188">
        <v>0</v>
      </c>
      <c r="Q18" s="188">
        <v>0</v>
      </c>
      <c r="R18" s="188">
        <v>0</v>
      </c>
      <c r="S18" s="188">
        <v>52</v>
      </c>
      <c r="T18" s="188">
        <v>35</v>
      </c>
      <c r="U18" s="188">
        <v>35</v>
      </c>
      <c r="V18" s="188">
        <v>52</v>
      </c>
      <c r="W18" s="188">
        <v>2</v>
      </c>
      <c r="X18" s="194">
        <v>21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52</v>
      </c>
      <c r="AZ18" s="131">
        <f t="shared" si="15"/>
        <v>35</v>
      </c>
      <c r="BA18" s="131">
        <f t="shared" si="15"/>
        <v>35</v>
      </c>
      <c r="BB18" s="131">
        <f t="shared" si="15"/>
        <v>52</v>
      </c>
      <c r="BC18" s="127">
        <f>IF(ISNUMBER(W18),W18," - ")</f>
        <v>2</v>
      </c>
      <c r="BD18" s="128">
        <f>IF(ISNUMBER(BA18/AZ18),BA18/AZ18," - ")</f>
        <v>1</v>
      </c>
      <c r="BE18" s="129">
        <f>IF(ISNUMBER(BB18/BA18),BB18/BA18, " - ")</f>
        <v>1.4857142857142858</v>
      </c>
      <c r="BF18" s="129">
        <f>IF(ISNUMBER(BC18/BA18),BC18/BA18, " - ")</f>
        <v>5.7142857142857141E-2</v>
      </c>
      <c r="BG18" s="201">
        <f>IF(ISNUMBER((AY18+AZ18)/BA18),(AY18+AZ18)/BA18," - ")</f>
        <v>2.4857142857142858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721</v>
      </c>
      <c r="J20" s="189">
        <f t="shared" si="16"/>
        <v>445</v>
      </c>
      <c r="K20" s="189">
        <f t="shared" si="16"/>
        <v>400</v>
      </c>
      <c r="L20" s="189">
        <f t="shared" si="16"/>
        <v>773</v>
      </c>
      <c r="M20" s="189">
        <f t="shared" si="16"/>
        <v>54</v>
      </c>
      <c r="N20" s="189">
        <f t="shared" si="16"/>
        <v>272</v>
      </c>
      <c r="O20" s="189">
        <f t="shared" si="16"/>
        <v>2</v>
      </c>
      <c r="P20" s="189">
        <f t="shared" si="16"/>
        <v>28</v>
      </c>
      <c r="Q20" s="189">
        <f t="shared" si="16"/>
        <v>3</v>
      </c>
      <c r="R20" s="189">
        <f t="shared" si="16"/>
        <v>92</v>
      </c>
      <c r="S20" s="189">
        <f t="shared" si="16"/>
        <v>558</v>
      </c>
      <c r="T20" s="189">
        <f t="shared" si="16"/>
        <v>644</v>
      </c>
      <c r="U20" s="189">
        <f t="shared" si="16"/>
        <v>634</v>
      </c>
      <c r="V20" s="189">
        <f t="shared" si="16"/>
        <v>570</v>
      </c>
      <c r="W20" s="189">
        <f t="shared" si="16"/>
        <v>94</v>
      </c>
      <c r="X20" s="189">
        <f t="shared" si="16"/>
        <v>431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558</v>
      </c>
      <c r="AZ20" s="189">
        <f>SUBTOTAL(9,AZ15:AZ19)</f>
        <v>644</v>
      </c>
      <c r="BA20" s="189">
        <f>SUBTOTAL(9,BA15:BA19)</f>
        <v>634</v>
      </c>
      <c r="BB20" s="189">
        <f>SUBTOTAL(9,BB15:BB19)</f>
        <v>570</v>
      </c>
      <c r="BC20" s="189">
        <f>SUBTOTAL(9,BC15:BC19)</f>
        <v>94</v>
      </c>
      <c r="BD20" s="210">
        <f>IF(ISNUMBER(BA20/AZ20),BA20/AZ20," - ")</f>
        <v>0.98447204968944102</v>
      </c>
      <c r="BE20" s="211">
        <f>IF(ISNUMBER(BB20/BA20),BB20/BA20, " - ")</f>
        <v>0.89905362776025233</v>
      </c>
      <c r="BF20" s="211">
        <f>IF(ISNUMBER(BC20/BA20),BC20/BA20, " - ")</f>
        <v>0.14826498422712933</v>
      </c>
      <c r="BG20" s="212">
        <f>IF(ISNUMBER((AY20+AZ20)/BA20),(AY20+AZ20)/BA20," - ")</f>
        <v>1.8958990536277602</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2555</v>
      </c>
      <c r="J21" s="136">
        <f t="shared" si="19"/>
        <v>980</v>
      </c>
      <c r="K21" s="136">
        <f t="shared" si="19"/>
        <v>714</v>
      </c>
      <c r="L21" s="136">
        <f t="shared" si="19"/>
        <v>2769</v>
      </c>
      <c r="M21" s="136">
        <f t="shared" si="19"/>
        <v>136</v>
      </c>
      <c r="N21" s="136">
        <f t="shared" si="19"/>
        <v>383</v>
      </c>
      <c r="O21" s="136">
        <f t="shared" si="19"/>
        <v>167</v>
      </c>
      <c r="P21" s="136">
        <f t="shared" si="19"/>
        <v>146</v>
      </c>
      <c r="Q21" s="136">
        <f t="shared" si="19"/>
        <v>56</v>
      </c>
      <c r="R21" s="136">
        <f t="shared" si="19"/>
        <v>2699</v>
      </c>
      <c r="S21" s="136">
        <f t="shared" si="19"/>
        <v>2066</v>
      </c>
      <c r="T21" s="136">
        <f t="shared" si="19"/>
        <v>1173</v>
      </c>
      <c r="U21" s="136">
        <f t="shared" si="19"/>
        <v>1077</v>
      </c>
      <c r="V21" s="136">
        <f t="shared" si="19"/>
        <v>2164</v>
      </c>
      <c r="W21" s="136">
        <f t="shared" si="19"/>
        <v>250</v>
      </c>
      <c r="X21" s="136">
        <f t="shared" si="19"/>
        <v>556</v>
      </c>
      <c r="Y21" s="136">
        <f t="shared" si="19"/>
        <v>156</v>
      </c>
      <c r="Z21" s="136">
        <f t="shared" si="19"/>
        <v>43</v>
      </c>
      <c r="AA21" s="136">
        <f t="shared" si="19"/>
        <v>33</v>
      </c>
      <c r="AB21" s="136">
        <f t="shared" si="19"/>
        <v>166</v>
      </c>
      <c r="AC21" s="136">
        <f t="shared" si="19"/>
        <v>0</v>
      </c>
      <c r="AD21" s="136">
        <f t="shared" si="19"/>
        <v>0</v>
      </c>
      <c r="AE21" s="136">
        <f t="shared" si="19"/>
        <v>0</v>
      </c>
      <c r="AF21" s="136">
        <f t="shared" si="19"/>
        <v>0</v>
      </c>
      <c r="AG21" s="136">
        <f t="shared" si="19"/>
        <v>124</v>
      </c>
      <c r="AH21" s="136">
        <f t="shared" si="19"/>
        <v>54</v>
      </c>
      <c r="AI21" s="136">
        <f t="shared" si="19"/>
        <v>64</v>
      </c>
      <c r="AJ21" s="136">
        <f t="shared" si="19"/>
        <v>114</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2190</v>
      </c>
      <c r="AZ21" s="136">
        <f>SUBTOTAL(9,AZ9:AZ20)</f>
        <v>1227</v>
      </c>
      <c r="BA21" s="136">
        <f>SUBTOTAL(9,BA9:BA20)</f>
        <v>1141</v>
      </c>
      <c r="BB21" s="136">
        <f>SUBTOTAL(9,BB9:BB20)</f>
        <v>2278</v>
      </c>
      <c r="BC21" s="137">
        <f>SUBTOTAL(9,BC9:BC20)</f>
        <v>222</v>
      </c>
      <c r="BD21" s="218">
        <f>IF(ISNUMBER(BA21/AZ21),BA21/AZ21," - ")</f>
        <v>0.92991035044824777</v>
      </c>
      <c r="BE21" s="215">
        <f>IF(ISNUMBER(BB21/BA21),BB21/BA21, " - ")</f>
        <v>1.9964943032427696</v>
      </c>
      <c r="BF21" s="215">
        <f>IF(ISNUMBER(BC21/BA21),BC21/BA21, " - ")</f>
        <v>0.19456617002629273</v>
      </c>
      <c r="BG21" s="137">
        <f>IF(ISNUMBER((AY21+AZ21)/BA21),(AY21+AZ21)/BA21," - ")</f>
        <v>2.9947414548641542</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fUv6+et/CnM63elFGCHySCENv1ir3kwd7a09O2IKogXv+rYtZ5m7LfiSBtjGBMEOudP7iDasB45fZzXbVk5+A==" saltValue="Qumk4Np1MFEClpyC4xfp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3YyfNAGuwx08lKBkqdDUtJ2P9SWApVgAwZnBjPTdXRN9tSsr68VKyI8BsxZvlmjbHDOySeHVVUPQYOdoLTDhQ==" saltValue="5i7MEjeiAyQuRtu+DIe6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CANGAS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14</v>
      </c>
      <c r="G10" s="498">
        <f>IF(ISNUMBER(Datos!I10),Datos!I10," - ")</f>
        <v>14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17</v>
      </c>
      <c r="AG10" s="504"/>
      <c r="AH10" s="504"/>
      <c r="AI10" s="504"/>
      <c r="AJ10" s="504"/>
      <c r="AK10" s="504"/>
      <c r="AL10" s="505"/>
      <c r="AM10" s="672">
        <f>IF(ISNUMBER(Datos!R10),Datos!R10," - ")</f>
        <v>19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0.4</v>
      </c>
      <c r="BH10" s="670">
        <f>IF(ISNUMBER(((Datos!L10/Datos!K10)*11)/factor_trimestre),((Datos!L10/Datos!K10)*11)/factor_trimestre," - ")</f>
        <v>25.5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43</v>
      </c>
      <c r="O12" s="504"/>
      <c r="P12" s="504"/>
      <c r="Q12" s="502">
        <f>IF(ISNUMBER(Datos!P12),Datos!P12,0)</f>
        <v>118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166</v>
      </c>
      <c r="AI12" s="504" t="str">
        <f>IF(ISNUMBER(Datos!CD12),Datos!CD12,"-")</f>
        <v>-</v>
      </c>
      <c r="AJ12" s="504" t="str">
        <f>IF(ISNUMBER(Datos!EN12),Datos!EN12," - ")</f>
        <v xml:space="preserve"> - </v>
      </c>
      <c r="AK12" s="504"/>
      <c r="AL12" s="505"/>
      <c r="AM12" s="672">
        <f>IF(ISNUMBER(Datos!R12),Datos!R12," - ")</f>
        <v>2588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80</v>
      </c>
      <c r="BD12" s="620">
        <f>IF(ISNUMBER(Datos!N12),Datos!N12," - ")</f>
        <v>111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0.60209424083769636</v>
      </c>
      <c r="BH12" s="670">
        <f>IF(ISNUMBER(((IF(J_V="SI",Datos!L12/Datos!K12,(Datos!L12+Datos!AB12)/(Datos!K12+Datos!AA12)))*11)/factor_trimestre),((IF(J_V="SI",Datos!L12/Datos!K12,(Datos!L12+Datos!AB12)/(Datos!K12+Datos!AA12)))*11)/factor_trimestre," - ")</f>
        <v>18.65217391304348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2.5762980578676178E-2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14</v>
      </c>
      <c r="G14" s="1045">
        <f t="shared" si="1"/>
        <v>14</v>
      </c>
      <c r="H14" s="1046">
        <f t="shared" si="1"/>
        <v>0</v>
      </c>
      <c r="I14" s="1045">
        <f t="shared" si="1"/>
        <v>0</v>
      </c>
      <c r="J14" s="1014">
        <f t="shared" si="1"/>
        <v>0</v>
      </c>
      <c r="K14" s="1014">
        <f t="shared" si="1"/>
        <v>0</v>
      </c>
      <c r="L14" s="1046">
        <f t="shared" si="1"/>
        <v>0</v>
      </c>
      <c r="M14" s="1046">
        <f t="shared" si="1"/>
        <v>0</v>
      </c>
      <c r="N14" s="1046">
        <f t="shared" si="1"/>
        <v>43</v>
      </c>
      <c r="O14" s="1047">
        <f t="shared" si="1"/>
        <v>0</v>
      </c>
      <c r="P14" s="1047">
        <f t="shared" si="1"/>
        <v>0</v>
      </c>
      <c r="Q14" s="1046">
        <f t="shared" si="1"/>
        <v>118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53</v>
      </c>
      <c r="AD14" s="1046">
        <f t="shared" si="2"/>
        <v>0</v>
      </c>
      <c r="AE14" s="1046">
        <f t="shared" si="2"/>
        <v>0</v>
      </c>
      <c r="AF14" s="1046">
        <f t="shared" si="2"/>
        <v>17</v>
      </c>
      <c r="AG14" s="1046">
        <f t="shared" si="2"/>
        <v>0</v>
      </c>
      <c r="AH14" s="1046">
        <f t="shared" si="2"/>
        <v>166</v>
      </c>
      <c r="AI14" s="1046">
        <f t="shared" si="2"/>
        <v>0</v>
      </c>
      <c r="AJ14" s="1046">
        <f t="shared" si="2"/>
        <v>0</v>
      </c>
      <c r="AK14" s="1046">
        <f t="shared" si="2"/>
        <v>0</v>
      </c>
      <c r="AL14" s="1046">
        <f t="shared" si="2"/>
        <v>0</v>
      </c>
      <c r="AM14" s="1046">
        <f t="shared" si="2"/>
        <v>2607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82</v>
      </c>
      <c r="BD14" s="1046">
        <f t="shared" si="2"/>
        <v>111</v>
      </c>
      <c r="BE14" s="1046">
        <f t="shared" si="2"/>
        <v>0</v>
      </c>
      <c r="BF14" s="1046">
        <f t="shared" si="2"/>
        <v>0</v>
      </c>
      <c r="BG14" s="1046">
        <f>IF(ISNUMBER(Datos!K14/Datos!J14),Datos!K14/Datos!J14," - ")</f>
        <v>0.58691588785046733</v>
      </c>
      <c r="BH14" s="1050">
        <f>IF(ISNUMBER(((Datos!L14/Datos!K14)*11)/factor_trimestre),((Datos!L14/Datos!K14)*11)/factor_trimestre," - ")</f>
        <v>19.070063694267517</v>
      </c>
      <c r="BI14" s="1046">
        <f>IF(ISNUMBER('Resol  Asuntos'!D14/NºAsuntos!G14),'Resol  Asuntos'!D14/NºAsuntos!G14," - ")</f>
        <v>0.23631123919308358</v>
      </c>
      <c r="BJ14" s="1046" t="str">
        <f>IF(ISNUMBER(Datos!CI14/Datos!CJ14),Datos!CI14/Datos!CJ14," - ")</f>
        <v xml:space="preserve"> - </v>
      </c>
      <c r="BK14" s="1046">
        <f>SUBTOTAL(9,BK8:BK13)</f>
        <v>0</v>
      </c>
      <c r="BL14" s="1046">
        <f>IF(ISNUMBER((I14-AB14+L14)/(F14)),(I14-AB14+L14)/(F14)," - ")</f>
        <v>-0.14285714285714285</v>
      </c>
      <c r="BM14" s="1051">
        <f>SUBTOTAL(9,BM9:BM13)</f>
        <v>2.5762980578676178E-2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669</v>
      </c>
      <c r="G17" s="651">
        <f>IF(ISNUMBER(IF(D_I="SI",Datos!I17,Datos!I17+Datos!AC17)),IF(D_I="SI",Datos!I17,Datos!I17+Datos!AC17)," - ")</f>
        <v>662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352</v>
      </c>
      <c r="AC17" s="231">
        <f>IF(ISNUMBER(Datos!Q17),Datos!Q17," - ")</f>
        <v>3</v>
      </c>
      <c r="AD17" s="344"/>
      <c r="AE17" s="516"/>
      <c r="AF17" s="649">
        <f>IF(ISNUMBER(IF(D_I="SI",Datos!L17,Datos!L17+Datos!AF17)),IF(D_I="SI",Datos!L17,Datos!L17+Datos!AF17)," - ")</f>
        <v>733</v>
      </c>
      <c r="AG17" s="344"/>
      <c r="AH17" s="344"/>
      <c r="AI17" s="344"/>
      <c r="AJ17" s="504"/>
      <c r="AK17" s="344"/>
      <c r="AL17" s="500"/>
      <c r="AM17" s="345">
        <f>IF(ISNUMBER(Datos!R17),Datos!R17," - ")</f>
        <v>92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51</v>
      </c>
      <c r="BD17" s="234">
        <f>IF(ISNUMBER(Datos!N17),Datos!N17," - ")</f>
        <v>239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0.84615384615384615</v>
      </c>
      <c r="BH17" s="670">
        <f>IF(ISNUMBER(((IF(D_I="SI",Datos!L17/Datos!K17,(Datos!L17+Datos!AF17)/(Datos!K17+Datos!AE17)))*11)/factor_trimestre),((IF(D_I="SI",Datos!L17/Datos!K17,(Datos!L17+Datos!AF17)/(Datos!K17+Datos!AE17)))*11)/factor_trimestre," - ")</f>
        <v>6.2471590909090908</v>
      </c>
      <c r="BI17" s="248">
        <f>IF(ISNUMBER('Resol  Asuntos'!D17/NºAsuntos!G17),'Resol  Asuntos'!D17/NºAsuntos!G17," - ")</f>
        <v>0.14488636363636365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48</v>
      </c>
      <c r="AC18" s="502">
        <f>IF(ISNUMBER(Datos!Q18),Datos!Q18," - ")</f>
        <v>0</v>
      </c>
      <c r="AD18" s="504"/>
      <c r="AE18" s="516"/>
      <c r="AF18" s="506">
        <f>IF(ISNUMBER(Datos!L18),Datos!L18,"-")</f>
        <v>40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33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1.6551724137931034</v>
      </c>
      <c r="BH18" s="670">
        <f>IF(ISNUMBER(((IF(D_I="SI",Datos!L18/Datos!K18,(Datos!L18+Datos!AF18)/(Datos!K18+Datos!AE18)))*11)/factor_trimestre),((IF(D_I="SI",Datos!L18/Datos!K18,(Datos!L18+Datos!AF18)/(Datos!K18+Datos!AE18)))*11)/factor_trimestre," - ")</f>
        <v>2.5000000000000004</v>
      </c>
      <c r="BI18" s="669">
        <f>IF(ISNUMBER('Resol  Asuntos'!D18/NºAsuntos!G18),'Resol  Asuntos'!D18/NºAsuntos!G18," - ")</f>
        <v>6.25E-2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669</v>
      </c>
      <c r="G20" s="1045">
        <f>SUBTOTAL(9,G16:G19)</f>
        <v>721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400</v>
      </c>
      <c r="AC20" s="1046">
        <f t="shared" si="5"/>
        <v>3</v>
      </c>
      <c r="AD20" s="1046">
        <f t="shared" si="5"/>
        <v>0</v>
      </c>
      <c r="AE20" s="1046">
        <f t="shared" si="5"/>
        <v>0</v>
      </c>
      <c r="AF20" s="1046">
        <f t="shared" si="5"/>
        <v>773</v>
      </c>
      <c r="AG20" s="1046">
        <f t="shared" si="5"/>
        <v>0</v>
      </c>
      <c r="AH20" s="1046">
        <f t="shared" si="5"/>
        <v>0</v>
      </c>
      <c r="AI20" s="1046">
        <f t="shared" si="5"/>
        <v>0</v>
      </c>
      <c r="AJ20" s="1046">
        <f t="shared" si="5"/>
        <v>0</v>
      </c>
      <c r="AK20" s="1046">
        <f t="shared" si="5"/>
        <v>0</v>
      </c>
      <c r="AL20" s="1046">
        <f t="shared" si="5"/>
        <v>0</v>
      </c>
      <c r="AM20" s="1046">
        <f t="shared" si="5"/>
        <v>92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54</v>
      </c>
      <c r="BD20" s="1046">
        <f t="shared" si="5"/>
        <v>272</v>
      </c>
      <c r="BE20" s="1046">
        <f t="shared" si="5"/>
        <v>0</v>
      </c>
      <c r="BF20" s="1046">
        <f t="shared" si="5"/>
        <v>0</v>
      </c>
      <c r="BG20" s="1046">
        <f>IF(ISNUMBER(Datos!K20/Datos!J20),Datos!K20/Datos!J20," - ")</f>
        <v>0.898876404494382</v>
      </c>
      <c r="BH20" s="1050">
        <f>IF(ISNUMBER(((Datos!L20/Datos!K20)*11)/factor_trimestre),((Datos!L20/Datos!K20)*11)/factor_trimestre," - ")</f>
        <v>5.7975000000000003</v>
      </c>
      <c r="BI20" s="1046">
        <f>SUBTOTAL(9,BI16:BI19)</f>
        <v>0.20738636363636365</v>
      </c>
      <c r="BJ20" s="1046">
        <f>SUBTOTAL(9,BJ16:BJ19)</f>
        <v>0</v>
      </c>
      <c r="BK20" s="1046">
        <f>SUBTOTAL(9,BK16:BK19)</f>
        <v>0</v>
      </c>
      <c r="BL20" s="1046">
        <f>IF(ISNUMBER((I20-AB20+L20)/(F20)),(I20-AB20+L20)/(F20)," - ")</f>
        <v>-0.59790732436472349</v>
      </c>
      <c r="BM20" s="1052">
        <f>IF(ISNUMBER((Datos!P20-Datos!Q20)/(Datos!R20-Datos!P20+Datos!Q20)),(Datos!P20-Datos!Q20)/(Datos!R20-Datos!P20+Datos!Q20)," - ")</f>
        <v>0.37313432835820898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683</v>
      </c>
      <c r="G21" s="967">
        <f t="shared" si="7"/>
        <v>735</v>
      </c>
      <c r="H21" s="969">
        <f t="shared" si="7"/>
        <v>0</v>
      </c>
      <c r="I21" s="967">
        <f t="shared" si="7"/>
        <v>0</v>
      </c>
      <c r="J21" s="969">
        <f t="shared" si="7"/>
        <v>0</v>
      </c>
      <c r="K21" s="969">
        <f t="shared" si="7"/>
        <v>0</v>
      </c>
      <c r="L21" s="1028">
        <f t="shared" si="7"/>
        <v>0</v>
      </c>
      <c r="M21" s="1028">
        <f t="shared" si="7"/>
        <v>0</v>
      </c>
      <c r="N21" s="1028">
        <f t="shared" si="7"/>
        <v>43</v>
      </c>
      <c r="O21" s="1028">
        <f t="shared" si="7"/>
        <v>0</v>
      </c>
      <c r="P21" s="1028">
        <f t="shared" si="7"/>
        <v>0</v>
      </c>
      <c r="Q21" s="969">
        <f t="shared" si="7"/>
        <v>146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402</v>
      </c>
      <c r="AC21" s="968">
        <f t="shared" si="8"/>
        <v>56</v>
      </c>
      <c r="AD21" s="968">
        <f t="shared" si="8"/>
        <v>0</v>
      </c>
      <c r="AE21" s="968">
        <f t="shared" si="8"/>
        <v>0</v>
      </c>
      <c r="AF21" s="975">
        <f t="shared" si="8"/>
        <v>790</v>
      </c>
      <c r="AG21" s="975">
        <f t="shared" si="8"/>
        <v>0</v>
      </c>
      <c r="AH21" s="975">
        <f t="shared" si="8"/>
        <v>166</v>
      </c>
      <c r="AI21" s="975">
        <f t="shared" si="8"/>
        <v>0</v>
      </c>
      <c r="AJ21" s="968">
        <f t="shared" si="8"/>
        <v>0</v>
      </c>
      <c r="AK21" s="975">
        <f t="shared" si="8"/>
        <v>0</v>
      </c>
      <c r="AL21" s="975">
        <f t="shared" si="8"/>
        <v>0</v>
      </c>
      <c r="AM21" s="975">
        <f t="shared" si="8"/>
        <v>2699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136</v>
      </c>
      <c r="BD21" s="967">
        <f t="shared" si="8"/>
        <v>383</v>
      </c>
      <c r="BE21" s="967">
        <f t="shared" si="8"/>
        <v>0</v>
      </c>
      <c r="BF21" s="977">
        <f t="shared" si="8"/>
        <v>0</v>
      </c>
      <c r="BG21" s="1062">
        <f>IF(ISNUMBER(Datos!K21/Datos!J21),Datos!K21/Datos!J21," - ")</f>
        <v>0.72857142857142854</v>
      </c>
      <c r="BH21" s="1062">
        <f>IF(ISNUMBER(((Datos!L21/Datos!K21)*11)/factor_trimestre),((Datos!L21/Datos!K21)*11)/factor_trimestre," - ")</f>
        <v>11.634453781512606</v>
      </c>
      <c r="BI21" s="960">
        <f>IF(ISNUMBER(Datos!J21/Datos!I21),Datos!J21/Datos!I21," - ")</f>
        <v>0.38356164383561642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-0.58857979502196189</v>
      </c>
      <c r="BM21" s="1036">
        <f>IF(ISNUMBER((Datos!P21-Datos!Q21+R21)/(Datos!R21-Datos!P21+Datos!Q21-R21)),(Datos!P21-Datos!Q21+R21)/(Datos!R21-Datos!P21+Datos!Q21-R21)," - ")</f>
        <v>3.4495975469528553E-2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294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378.16442631920489</v>
      </c>
      <c r="G23" s="601">
        <f>IF(ISNUMBER(STDEV(G8:G20)),STDEV(G8:G20),"-")</f>
        <v>363.92925136625115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198.07372364854456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35.562152165844331</v>
      </c>
      <c r="BD23" s="600"/>
      <c r="BE23" s="600">
        <f>IF(ISNUMBER(STDEV(BE8:BE20)),STDEV(BE8:BE20),"-")</f>
        <v>0</v>
      </c>
      <c r="BF23" s="605">
        <f>IF(ISNUMBER(STDEV(BF8:BF20)),STDEV(BF8:BF20),"-")</f>
        <v>0</v>
      </c>
      <c r="BG23" s="915">
        <f>IF(ISNUMBER(STDEV(BG8:BG20)),STDEV(BG8:BG20),"-")</f>
        <v>0.44313230372868045</v>
      </c>
      <c r="BH23" s="919">
        <f>IF(ISNUMBER(STDEV(BH8:BH20)),STDEV(BH8:BH20),"-")</f>
        <v>9.303338686704846</v>
      </c>
      <c r="BI23" s="254">
        <f>IF(ISNUMBER(STDEV(BI8:BI20)),STDEV(BI8:BI20),"-")</f>
        <v>7.6969325300927774E-2</v>
      </c>
      <c r="BJ23" s="235" t="str">
        <f>IF(ISNUMBER(BL23/BM23),BL23/BM23," - ")</f>
        <v xml:space="preserve"> - </v>
      </c>
      <c r="BK23" s="627"/>
      <c r="BL23" s="608">
        <f>IF(ISNUMBER(STDEV(BL8:BL20)),STDEV(BL8:BL20),"-")</f>
        <v>0.32176906912417963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ubvGP01reCawnEfMh3HLWi+ot9DI85bF5GJ3a77iZT61+fO8qGFdPKMfA3ZXUorNaY0lNv/DacXaHqBMls8Jg==" saltValue="ckvhT4UADG3QTOiDeg4u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CANGAS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14</v>
      </c>
      <c r="G10" s="507">
        <f>IF(ISNUMBER(Datos!I10),Datos!I10," - ")</f>
        <v>14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17</v>
      </c>
      <c r="AB10" s="504"/>
      <c r="AC10" s="504"/>
      <c r="AD10" s="517"/>
      <c r="AE10" s="517">
        <f>IF(ISNUMBER(Datos!R10),Datos!R10," - ")</f>
        <v>19</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25.5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118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53</v>
      </c>
      <c r="AA12" s="506" t="str">
        <f>IF(ISNUMBER(IF(J_V="SI",Datos!L12,Datos!L12+Datos!AB12)-IF(Monitorios="SI",Datos!CD12,0)),
                          IF(J_V="SI",Datos!L12,Datos!L12+Datos!AB12)-IF(Monitorios="SI",Datos!CD12,0),
                          " - ")</f>
        <v xml:space="preserve"> - </v>
      </c>
      <c r="AB12" s="504"/>
      <c r="AC12" s="504"/>
      <c r="AD12" s="517"/>
      <c r="AE12" s="517">
        <f>IF(ISNUMBER(Datos!R12),Datos!R12," - ")</f>
        <v>2588</v>
      </c>
      <c r="AF12" s="620" t="str">
        <f>IF(ISNUMBER(Datos!BV12),Datos!BV12," - ")</f>
        <v xml:space="preserve"> - </v>
      </c>
      <c r="AG12" s="507" t="str">
        <f>IF(ISNUMBER(Datos!DV12),Datos!DV12," - ")</f>
        <v xml:space="preserve"> - </v>
      </c>
      <c r="AH12" s="508"/>
      <c r="AI12" s="509"/>
      <c r="AJ12" s="507">
        <f>IF(ISNUMBER(Datos!M12),Datos!M12," - ")</f>
        <v>80</v>
      </c>
      <c r="AK12" s="620">
        <f>IF(ISNUMBER(Datos!N12),Datos!N12," - ")</f>
        <v>111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18.65217391304348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2.5762980578676178E-2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14</v>
      </c>
      <c r="G14" s="1045">
        <f>SUBTOTAL(9,G8:G13)</f>
        <v>14</v>
      </c>
      <c r="H14" s="1055"/>
      <c r="I14" s="1045">
        <f t="shared" ref="I14:N14" si="1">SUBTOTAL(9,I8:I13)</f>
        <v>0</v>
      </c>
      <c r="J14" s="1014">
        <f t="shared" si="1"/>
        <v>0</v>
      </c>
      <c r="K14" s="1055">
        <f t="shared" si="1"/>
        <v>0</v>
      </c>
      <c r="L14" s="1055">
        <f t="shared" si="1"/>
        <v>0</v>
      </c>
      <c r="M14" s="1055">
        <f t="shared" si="1"/>
        <v>0</v>
      </c>
      <c r="N14" s="1055">
        <f t="shared" si="1"/>
        <v>118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53</v>
      </c>
      <c r="AA14" s="1047">
        <f t="shared" si="3"/>
        <v>17</v>
      </c>
      <c r="AB14" s="1047">
        <f t="shared" si="3"/>
        <v>0</v>
      </c>
      <c r="AC14" s="1047">
        <f t="shared" si="3"/>
        <v>0</v>
      </c>
      <c r="AD14" s="1047">
        <f t="shared" si="3"/>
        <v>0</v>
      </c>
      <c r="AE14" s="1047">
        <f t="shared" si="3"/>
        <v>2607</v>
      </c>
      <c r="AF14" s="1055">
        <f t="shared" si="3"/>
        <v>0</v>
      </c>
      <c r="AG14" s="1055">
        <f t="shared" si="3"/>
        <v>0</v>
      </c>
      <c r="AH14" s="1055">
        <f t="shared" si="3"/>
        <v>0</v>
      </c>
      <c r="AI14" s="1055">
        <f t="shared" si="3"/>
        <v>0</v>
      </c>
      <c r="AJ14" s="1055">
        <f t="shared" si="3"/>
        <v>82</v>
      </c>
      <c r="AK14" s="1055">
        <f t="shared" si="3"/>
        <v>111</v>
      </c>
      <c r="AL14" s="1055">
        <f t="shared" si="3"/>
        <v>0</v>
      </c>
      <c r="AM14" s="1055">
        <f t="shared" si="3"/>
        <v>0</v>
      </c>
      <c r="AN14" s="1055">
        <f t="shared" si="3"/>
        <v>0</v>
      </c>
      <c r="AO14" s="1051">
        <f>IF(ISNUMBER(((NºAsuntos!I14/NºAsuntos!G14)*11)/factor_trimestre),((NºAsuntos!I14/NºAsuntos!G14)*11)/factor_trimestre," - ")</f>
        <v>18.691642651296828</v>
      </c>
      <c r="AP14" s="1057" t="str">
        <f>IF(ISNUMBER(Datos!CI14/Datos!CJ14),Datos!CI14/Datos!CJ14," - ")</f>
        <v xml:space="preserve"> - </v>
      </c>
      <c r="AQ14" s="1075">
        <f t="shared" ref="AQ14:AV14" si="4">SUBTOTAL(9,AQ9:AQ13)</f>
        <v>0</v>
      </c>
      <c r="AR14" s="1075">
        <f t="shared" si="4"/>
        <v>2.5762980578676178E-2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669</v>
      </c>
      <c r="G17" s="507">
        <f>IF(ISNUMBER(IF(D_I="SI",Datos!I17,Datos!I17+Datos!AC17)),IF(D_I="SI",Datos!I17,Datos!I17+Datos!AC17)," - ")</f>
        <v>662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352</v>
      </c>
      <c r="Z17" s="704">
        <f>IF(ISNUMBER(Datos!Q17),Datos!Q17," - ")</f>
        <v>3</v>
      </c>
      <c r="AA17" s="506">
        <f>IF(ISNUMBER(IF(D_I="SI",Datos!L17,Datos!L17+Datos!AF17)),IF(D_I="SI",Datos!L17,Datos!L17+Datos!AF17)," - ")</f>
        <v>733</v>
      </c>
      <c r="AB17" s="504"/>
      <c r="AC17" s="504"/>
      <c r="AD17" s="517"/>
      <c r="AE17" s="517">
        <f>IF(ISNUMBER(Datos!R17),Datos!R17," - ")</f>
        <v>92</v>
      </c>
      <c r="AF17" s="620" t="str">
        <f>IF(ISNUMBER(Datos!BV17),Datos!BV17," - ")</f>
        <v xml:space="preserve"> - </v>
      </c>
      <c r="AG17" s="507"/>
      <c r="AH17" s="508"/>
      <c r="AI17" s="509"/>
      <c r="AJ17" s="507">
        <f>IF(ISNUMBER(Datos!M17),Datos!M17," - ")</f>
        <v>51</v>
      </c>
      <c r="AK17" s="620">
        <f>IF(ISNUMBER(Datos!N17),Datos!N17," - ")</f>
        <v>239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6.2471590909090908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48</v>
      </c>
      <c r="Z18" s="704">
        <f>IF(ISNUMBER(Datos!Q18),Datos!Q18," - ")</f>
        <v>0</v>
      </c>
      <c r="AA18" s="506">
        <f>IF(ISNUMBER(Datos!L18),Datos!L18,"-")</f>
        <v>40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33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2.5000000000000004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669</v>
      </c>
      <c r="G20" s="1045">
        <f>SUBTOTAL(9,G16:G19)</f>
        <v>721</v>
      </c>
      <c r="H20" s="1079">
        <f>SUBTOTAL(9,H16:H19)</f>
        <v>0</v>
      </c>
      <c r="I20" s="1058">
        <f>SUBTOTAL(9,I16:I19)</f>
        <v>0</v>
      </c>
      <c r="J20" s="1014">
        <f>SUBTOTAL(9,J15:J19)</f>
        <v>0</v>
      </c>
      <c r="K20" s="1079">
        <f t="shared" ref="K20:S20" si="5">SUBTOTAL(9,K16:K19)</f>
        <v>0</v>
      </c>
      <c r="L20" s="1079">
        <f t="shared" si="5"/>
        <v>0</v>
      </c>
      <c r="M20" s="1079">
        <f t="shared" si="5"/>
        <v>0</v>
      </c>
      <c r="N20" s="1079">
        <f t="shared" si="5"/>
        <v>28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400</v>
      </c>
      <c r="Z20" s="1079">
        <f t="shared" si="6"/>
        <v>3</v>
      </c>
      <c r="AA20" s="1079">
        <f t="shared" si="6"/>
        <v>773</v>
      </c>
      <c r="AB20" s="1079">
        <f t="shared" si="6"/>
        <v>0</v>
      </c>
      <c r="AC20" s="1079">
        <f t="shared" si="6"/>
        <v>0</v>
      </c>
      <c r="AD20" s="1079">
        <f t="shared" si="6"/>
        <v>0</v>
      </c>
      <c r="AE20" s="1079">
        <f t="shared" si="6"/>
        <v>92</v>
      </c>
      <c r="AF20" s="1079">
        <f t="shared" si="6"/>
        <v>0</v>
      </c>
      <c r="AG20" s="1079">
        <f t="shared" si="6"/>
        <v>0</v>
      </c>
      <c r="AH20" s="1079">
        <f t="shared" si="6"/>
        <v>0</v>
      </c>
      <c r="AI20" s="1079">
        <f t="shared" si="6"/>
        <v>0</v>
      </c>
      <c r="AJ20" s="1079">
        <f t="shared" si="6"/>
        <v>54</v>
      </c>
      <c r="AK20" s="1079">
        <f t="shared" si="6"/>
        <v>272</v>
      </c>
      <c r="AL20" s="1079">
        <f t="shared" si="6"/>
        <v>0</v>
      </c>
      <c r="AM20" s="1079">
        <f t="shared" si="6"/>
        <v>0</v>
      </c>
      <c r="AN20" s="1079">
        <f t="shared" si="6"/>
        <v>0</v>
      </c>
      <c r="AO20" s="1081">
        <f>IF(ISNUMBER(((NºAsuntos!I20/NºAsuntos!G20)*11)/factor_trimestre),((NºAsuntos!I20/NºAsuntos!G20)*11)/factor_trimestre," - ")</f>
        <v>5.7975000000000003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683</v>
      </c>
      <c r="G21" s="967">
        <f t="shared" si="8"/>
        <v>735</v>
      </c>
      <c r="H21" s="968">
        <f t="shared" si="8"/>
        <v>0</v>
      </c>
      <c r="I21" s="967">
        <f t="shared" si="8"/>
        <v>0</v>
      </c>
      <c r="J21" s="969">
        <f t="shared" si="8"/>
        <v>0</v>
      </c>
      <c r="K21" s="967">
        <f t="shared" si="8"/>
        <v>0</v>
      </c>
      <c r="L21" s="970">
        <f t="shared" si="8"/>
        <v>0</v>
      </c>
      <c r="M21" s="967">
        <f t="shared" si="8"/>
        <v>0</v>
      </c>
      <c r="N21" s="968">
        <f t="shared" si="8"/>
        <v>146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402</v>
      </c>
      <c r="Z21" s="974">
        <f t="shared" si="9"/>
        <v>56</v>
      </c>
      <c r="AA21" s="975">
        <f t="shared" si="9"/>
        <v>790</v>
      </c>
      <c r="AB21" s="975">
        <f t="shared" si="9"/>
        <v>0</v>
      </c>
      <c r="AC21" s="975">
        <f t="shared" si="9"/>
        <v>0</v>
      </c>
      <c r="AD21" s="976">
        <f t="shared" si="9"/>
        <v>0</v>
      </c>
      <c r="AE21" s="976">
        <f t="shared" si="9"/>
        <v>2699</v>
      </c>
      <c r="AF21" s="977">
        <f t="shared" si="9"/>
        <v>0</v>
      </c>
      <c r="AG21" s="978">
        <f t="shared" si="9"/>
        <v>0</v>
      </c>
      <c r="AH21" s="979">
        <f t="shared" si="9"/>
        <v>0</v>
      </c>
      <c r="AI21" s="977">
        <f t="shared" si="9"/>
        <v>0</v>
      </c>
      <c r="AJ21" s="967">
        <f t="shared" si="9"/>
        <v>136</v>
      </c>
      <c r="AK21" s="967">
        <f t="shared" si="9"/>
        <v>383</v>
      </c>
      <c r="AL21" s="967">
        <f t="shared" si="9"/>
        <v>0</v>
      </c>
      <c r="AM21" s="980">
        <f t="shared" si="9"/>
        <v>0</v>
      </c>
      <c r="AN21" s="970">
        <f>IF(ISNUMBER(Datos!K21/Datos!J21),Datos!K21/Datos!J21," - ")</f>
        <v>0.72857142857142854</v>
      </c>
      <c r="AO21" s="970">
        <f>IF(ISNUMBER(FIND("06",Criterios!A8,1)),(IF(ISNUMBER(((Datos!R21/Datos!Q21)*11)/factor_trimestre),((Datos!R21/Datos!Q21)*11)/factor_trimestre," - ")),(IF(ISNUMBER(((Datos!L21/Datos!K21)*11)/factor_trimestre),((Datos!L21/Datos!K21)*11)/factor_trimestre," - ")))</f>
        <v>11.634453781512606</v>
      </c>
      <c r="AP21" s="981" t="str">
        <f>IF(ISNUMBER(Datos!CI21/Datos!CJ21),Datos!CI21/Datos!CJ21," - ")</f>
        <v xml:space="preserve"> - </v>
      </c>
      <c r="AQ21" s="981">
        <f>IF(OR(ISNUMBER(FIND("01",Criterios!A8,1)),ISNUMBER(FIND("02",Criterios!A8,1)),ISNUMBER(FIND("03",Criterios!A8,1)),ISNUMBER(FIND("04",Criterios!A8,1))),(J21-Y21+K21)/(F21-K21),(I21-Y21+K21)/(F21-K21))</f>
        <v>-0.58857979502196189</v>
      </c>
      <c r="AR21" s="981">
        <f>IF(ISNUMBER((Datos!P21-Datos!Q21+O21)/(Datos!R21-Datos!P21+Datos!Q21-O21)),(Datos!P21-Datos!Q21+O21)/(Datos!R21-Datos!P21+Datos!Q21-O21)," - ")</f>
        <v>3.4495975469528553E-2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294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378.16442631920489</v>
      </c>
      <c r="G23" s="601">
        <f>IF(ISNUMBER(STDEV(G8:G20)),STDEV(G8:G20),"-")</f>
        <v>363.92925136625115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35.562152165844331</v>
      </c>
      <c r="AK23" s="257"/>
      <c r="AL23" s="257">
        <f>IF(ISNUMBER(STDEV(AL8:AL20)),STDEV(AL8:AL20),"-")</f>
        <v>0</v>
      </c>
      <c r="AM23" s="259">
        <f>IF(ISNUMBER(STDEV(AM8:AM20)),STDEV(AM8:AM20),"-")</f>
        <v>0</v>
      </c>
      <c r="AN23" s="587">
        <f>IF(ISNUMBER(STDEV(AN8:AN20)),STDEV(AN8:AN20),"-")</f>
        <v>0</v>
      </c>
      <c r="AO23" s="588">
        <f>IF(ISNUMBER(STDEV(AO8:AO20)),STDEV(AO8:AO20),"-")</f>
        <v>9.2547977352593147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5BBHHKYnELxSDJm/dKI53j9MCWlWpqBxfAcb9kk+fPzXujHnOGAO04n82rOnYuGEOVIdKKP/FGxu+PUt8TZV2g==" saltValue="y0dcVoFTMt0uK76YwIym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YypVwI32fp5jSZDiKzNDJyhzu6Xni8Fc9EFWPRWfjQm6rwo5tOURgD0U1uBqkNz4lIH6+edAYM2v/NNOfUeig==" saltValue="WxJcEjkk/pGK1U5Di7SH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eCDMbb4AcFuwH7caUbCfwnbyQS1bRBFiKiGOqYhTWR9QTaREpJUvgYaM0B6P0M2VjaBRtdjQdOTTFUUkIm3Iw==" saltValue="Gvr0RY+rr4tW0olDLhfN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CANGAS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0.23631123919308358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0.16709727970402566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usv2rwRhAoYvPwByP5+b5Xu/1OIPGWjl8O1PQiHtSZPQq0mGQkWfPUwjKyXo7Iwg5tHq4iZfEbmiYW7n0fxTw==" saltValue="nv7f76dm5CoZMy51ha+i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URGmdeMrmMbefRzy3i1qqXyr2Cezv5ORvYXQnjw53cRXhSJUL8dG9e82KkBq2MYK8nmLahCAWtkHt76lVwEqQ==" saltValue="f4YhmsNHaRzfMh4SPNHX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CANGAS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14</v>
      </c>
      <c r="D10" s="416">
        <f>IF(ISNUMBER(C10/Datos!BH10),C10/Datos!BH10," - ")</f>
        <v>14</v>
      </c>
      <c r="E10" s="415">
        <f>IF(ISNUMBER(Datos!J10),Datos!J10," - ")</f>
        <v>5</v>
      </c>
      <c r="F10" s="416">
        <f>IF(ISNUMBER(E10/B10),E10/B10," - ")</f>
        <v>5</v>
      </c>
      <c r="G10" s="415">
        <f>IF(ISNUMBER(Datos!K10),Datos!K10," - ")</f>
        <v>2</v>
      </c>
      <c r="H10" s="416">
        <f>IF(ISNUMBER(G10/B10),G10/B10," - ")</f>
        <v>2</v>
      </c>
      <c r="I10" s="415">
        <f>IF(ISNUMBER(Datos!L10),Datos!L10," - ")</f>
        <v>17</v>
      </c>
      <c r="J10" s="416">
        <f>IF(ISNUMBER(I10/B10),I10/B10," - ")</f>
        <v>17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1976</v>
      </c>
      <c r="D12" s="416">
        <f>IF(ISNUMBER(C12/Datos!BH12),C12/Datos!BH12," - ")</f>
        <v>658.66666666666663</v>
      </c>
      <c r="E12" s="415">
        <f>IF(ISNUMBER(IF(J_V="SI",Datos!J12,Datos!J12+Datos!Z12)),IF(J_V="SI",Datos!J12,Datos!J12+Datos!Z12)," - ")</f>
        <v>573</v>
      </c>
      <c r="F12" s="416">
        <f>IF(ISNUMBER(E12/B12),E12/B12," - ")</f>
        <v>191</v>
      </c>
      <c r="G12" s="415">
        <f>IF(ISNUMBER(IF(J_V="SI",Datos!K12,Datos!K12+Datos!AA12)),IF(J_V="SI",Datos!K12,Datos!K12+Datos!AA12)," - ")</f>
        <v>345</v>
      </c>
      <c r="H12" s="416">
        <f>IF(ISNUMBER(G12/B12),G12/B12," - ")</f>
        <v>115</v>
      </c>
      <c r="I12" s="415">
        <f>IF(ISNUMBER(IF(J_V="SI",Datos!L12,Datos!L12+Datos!AB12)),IF(J_V="SI",Datos!L12,Datos!L12+Datos!AB12)," - ")</f>
        <v>2145</v>
      </c>
      <c r="J12" s="416">
        <f>IF(ISNUMBER(I12/B12),I12/B12," - ")</f>
        <v>715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1990</v>
      </c>
      <c r="D14" s="997" t="str">
        <f>IF(ISNUMBER(C14/Datos!BI14),C14/Datos!BI14," - ")</f>
        <v xml:space="preserve"> - </v>
      </c>
      <c r="E14" s="996">
        <f>SUBTOTAL(9,E8:E13)</f>
        <v>578</v>
      </c>
      <c r="F14" s="997">
        <f>IF(ISNUMBER(E14/B14),E14/B14," - ")</f>
        <v>192.66666666666666</v>
      </c>
      <c r="G14" s="996">
        <f>SUBTOTAL(9,G8:G13)</f>
        <v>347</v>
      </c>
      <c r="H14" s="997">
        <f>IF(ISNUMBER(G14/B14),G14/B14," - ")</f>
        <v>115.66666666666667</v>
      </c>
      <c r="I14" s="996">
        <f>SUBTOTAL(9,I8:I13)</f>
        <v>2162</v>
      </c>
      <c r="J14" s="997">
        <f>IF(ISNUMBER(I14/B14),I14/B14," - ")</f>
        <v>720.66666666666663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662</v>
      </c>
      <c r="D17" s="416">
        <f>IF(ISNUMBER(C17/Datos!BH17),C17/Datos!BH17," - ")</f>
        <v>220.66666666666666</v>
      </c>
      <c r="E17" s="415">
        <f>IF(ISNUMBER(IF(D_I="SI",Datos!J17,Datos!J17+Datos!AD17)),IF(D_I="SI",Datos!J17,Datos!J17+Datos!AD17)," - ")</f>
        <v>416</v>
      </c>
      <c r="F17" s="416">
        <f>IF(ISNUMBER(E17/B17),E17/B17," - ")</f>
        <v>138.66666666666666</v>
      </c>
      <c r="G17" s="415">
        <f>IF(ISNUMBER(IF(D_I="SI",Datos!K17,Datos!K17+Datos!AE17)),IF(D_I="SI",Datos!K17,Datos!K17+Datos!AE17)," - ")</f>
        <v>352</v>
      </c>
      <c r="H17" s="416">
        <f>IF(ISNUMBER(G17/B17),G17/B17," - ")</f>
        <v>117.33333333333333</v>
      </c>
      <c r="I17" s="415">
        <f>IF(ISNUMBER(IF(D_I="SI",Datos!L17,Datos!L17+Datos!AF17)),IF(D_I="SI",Datos!L17,Datos!L17+Datos!AF17)," - ")</f>
        <v>733</v>
      </c>
      <c r="J17" s="416">
        <f>IF(ISNUMBER(I17/B17),I17/B17," - ")</f>
        <v>244.33333333333334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59</v>
      </c>
      <c r="D18" s="416">
        <f>IF(ISNUMBER(C18/Datos!BH18),C18/Datos!BH18," - ")</f>
        <v>59</v>
      </c>
      <c r="E18" s="415">
        <f>IF(ISNUMBER(IF(D_I="SI",Datos!J18,Datos!J18+Datos!AD18)),IF(D_I="SI",Datos!J18,Datos!J18+Datos!AD18)," - ")</f>
        <v>29</v>
      </c>
      <c r="F18" s="416">
        <f>IF(ISNUMBER(E18/B18),E18/B18," - ")</f>
        <v>29</v>
      </c>
      <c r="G18" s="415">
        <f>IF(ISNUMBER(IF(D_I="SI",Datos!K18,Datos!K18+Datos!AE18)),IF(D_I="SI",Datos!K18,Datos!K18+Datos!AE18)," - ")</f>
        <v>48</v>
      </c>
      <c r="H18" s="416">
        <f>IF(ISNUMBER(G18/B18),G18/B18," - ")</f>
        <v>48</v>
      </c>
      <c r="I18" s="415">
        <f>IF(ISNUMBER(IF(D_I="SI",Datos!L18,Datos!L18+Datos!AF18)),IF(D_I="SI",Datos!L18,Datos!L18+Datos!AF18)," - ")</f>
        <v>40</v>
      </c>
      <c r="J18" s="416">
        <f>IF(ISNUMBER(I18/B18),I18/B18," - ")</f>
        <v>40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721</v>
      </c>
      <c r="D20" s="997" t="str">
        <f>IF(ISNUMBER(C20/Datos!BI20),C20/Datos!BI20," - ")</f>
        <v xml:space="preserve"> - </v>
      </c>
      <c r="E20" s="996">
        <f>SUBTOTAL(9,E15:E19)</f>
        <v>445</v>
      </c>
      <c r="F20" s="997">
        <f>IF(ISNUMBER(E20/B20),E20/B20," - ")</f>
        <v>148.33333333333334</v>
      </c>
      <c r="G20" s="996">
        <f>SUBTOTAL(9,G15:G19)</f>
        <v>400</v>
      </c>
      <c r="H20" s="997">
        <f>IF(ISNUMBER(G20/B20),G20/B20," - ")</f>
        <v>133.33333333333334</v>
      </c>
      <c r="I20" s="996">
        <f>SUBTOTAL(9,I15:I19)</f>
        <v>773</v>
      </c>
      <c r="J20" s="997">
        <f>IF(ISNUMBER(I20/B20),I20/B20," - ")</f>
        <v>257.66666666666669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2711</v>
      </c>
      <c r="D21" s="942" t="str">
        <f>IF(ISNUMBER(C21/Datos!BI21),C21/Datos!BI21," - ")</f>
        <v xml:space="preserve"> - </v>
      </c>
      <c r="E21" s="941">
        <f>SUBTOTAL(9,E9:E20)</f>
        <v>1023</v>
      </c>
      <c r="F21" s="942">
        <f>IF(ISNUMBER(E21/B21),E21/B21," - ")</f>
        <v>341</v>
      </c>
      <c r="G21" s="941">
        <f>SUBTOTAL(9,G9:G20)</f>
        <v>747</v>
      </c>
      <c r="H21" s="942">
        <f>IF(ISNUMBER(G21/B21),G21/B21," - ")</f>
        <v>249</v>
      </c>
      <c r="I21" s="941">
        <f>SUBTOTAL(9,I9:I20)</f>
        <v>2935</v>
      </c>
      <c r="J21" s="942">
        <f>IF(ISNUMBER(I21/B21),I21/B21," - ")</f>
        <v>978.33333333333337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ccHGFWDXE1Be89GgRa/M1mvBPbkOGgIORLGjaDgjG8dR+KHLIqv0tElvuUKzQPutJRm48pq8nlT+hreRwk4Pg==" saltValue="jz6RwlKLwxW/opFyLv+Ev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CANGAS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14</v>
      </c>
      <c r="G10" s="803">
        <f>IF(ISNUMBER(Datos!I10),Datos!I10," - ")</f>
        <v>14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17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25.5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118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2588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80</v>
      </c>
      <c r="AM12" s="811">
        <f>IF(ISNUMBER(Datos!N12+DatosP!N17),Datos!N12+DatosP!N17," - ")</f>
        <v>111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18.65217391304348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2.5762980578676178E-2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14</v>
      </c>
      <c r="G14" s="1085">
        <f t="shared" si="0"/>
        <v>14</v>
      </c>
      <c r="H14" s="1085">
        <f t="shared" si="0"/>
        <v>0</v>
      </c>
      <c r="I14" s="1087">
        <f t="shared" si="0"/>
        <v>0</v>
      </c>
      <c r="J14" s="1086">
        <f t="shared" si="0"/>
        <v>0</v>
      </c>
      <c r="K14" s="1086">
        <f t="shared" si="0"/>
        <v>0</v>
      </c>
      <c r="L14" s="1088">
        <f t="shared" si="0"/>
        <v>0</v>
      </c>
      <c r="M14" s="1088">
        <f t="shared" si="0"/>
        <v>0</v>
      </c>
      <c r="N14" s="1086">
        <f t="shared" si="0"/>
        <v>118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53</v>
      </c>
      <c r="AE14" s="1086">
        <f t="shared" si="1"/>
        <v>0</v>
      </c>
      <c r="AF14" s="1086">
        <f t="shared" si="1"/>
        <v>17</v>
      </c>
      <c r="AG14" s="1086">
        <f t="shared" si="1"/>
        <v>0</v>
      </c>
      <c r="AH14" s="1086">
        <f t="shared" si="1"/>
        <v>2588</v>
      </c>
      <c r="AI14" s="1086">
        <f t="shared" si="1"/>
        <v>0</v>
      </c>
      <c r="AJ14" s="1086">
        <f t="shared" si="1"/>
        <v>0</v>
      </c>
      <c r="AK14" s="1086">
        <f t="shared" si="1"/>
        <v>0</v>
      </c>
      <c r="AL14" s="1086">
        <f t="shared" si="1"/>
        <v>82</v>
      </c>
      <c r="AM14" s="1086">
        <f t="shared" si="1"/>
        <v>111</v>
      </c>
      <c r="AN14" s="1086">
        <f t="shared" si="1"/>
        <v>0</v>
      </c>
      <c r="AO14" s="1086">
        <f t="shared" si="1"/>
        <v>0</v>
      </c>
      <c r="AP14" s="1091">
        <f>IF(ISNUMBER(((Datos!L14/Datos!K14)*11)/factor_trimestre),((Datos!L14/Datos!K14)*11)/factor_trimestre," - ")</f>
        <v>19.070063694267517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-0.14285714285714285</v>
      </c>
      <c r="AU14" s="1086" t="str">
        <f>IF(ISNUMBER((DatosP!#REF!-DatosP!#REF!+DatosP!#REF!)/(DatosP!#REF!+DatosP!#REF!-DatosP!#REF!-DatosP!#REF!)),(DatosP!#REF!-DatosP!#REF!+DatosP!#REF!)/(DatosP!#REF!+DatosP!#REF!-DatosP!#REF!-DatosP!#REF!)," - ")</f>
        <v xml:space="preserve"> - </v>
      </c>
      <c r="AV14" s="1092">
        <f>SUBTOTAL(9,AV9:AV13)</f>
        <v>2.5762980578676178E-2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5.7975000000000003</v>
      </c>
      <c r="AQ20" s="1091">
        <f>IF(ISNUMBER(((Datos!M20/Datos!L20)*11)/factor_trimestre),((Datos!M20/Datos!L20)*11)/factor_trimestre," - ")</f>
        <v>0.20957309184993533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0.37313432835820898</v>
      </c>
      <c r="AW20" s="1093">
        <f>IF(ISNUMBER((Datos!Q20-Datos!R20)/(Datos!S20-Datos!Q20+Datos!R20)),(Datos!Q20-Datos!R20)/(Datos!S20-Datos!Q20+Datos!R20)," - ")</f>
        <v>-0.13755795981452859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14</v>
      </c>
      <c r="G21" s="1098">
        <f t="shared" si="4"/>
        <v>14</v>
      </c>
      <c r="H21" s="1098">
        <f t="shared" si="4"/>
        <v>0</v>
      </c>
      <c r="I21" s="1099">
        <f t="shared" si="4"/>
        <v>0</v>
      </c>
      <c r="J21" s="1100">
        <f t="shared" si="4"/>
        <v>0</v>
      </c>
      <c r="K21" s="1100">
        <f t="shared" si="4"/>
        <v>0</v>
      </c>
      <c r="L21" s="1100">
        <f t="shared" si="4"/>
        <v>0</v>
      </c>
      <c r="M21" s="1100">
        <f t="shared" si="4"/>
        <v>0</v>
      </c>
      <c r="N21" s="1099">
        <f t="shared" si="4"/>
        <v>118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53</v>
      </c>
      <c r="AE21" s="1104">
        <f t="shared" si="5"/>
        <v>0</v>
      </c>
      <c r="AF21" s="1105">
        <f t="shared" si="5"/>
        <v>17</v>
      </c>
      <c r="AG21" s="1105">
        <f t="shared" si="5"/>
        <v>0</v>
      </c>
      <c r="AH21" s="1105">
        <f t="shared" si="5"/>
        <v>2588</v>
      </c>
      <c r="AI21" s="1105">
        <f t="shared" si="5"/>
        <v>0</v>
      </c>
      <c r="AJ21" s="1106">
        <f t="shared" si="5"/>
        <v>0</v>
      </c>
      <c r="AK21" s="1106">
        <f t="shared" si="5"/>
        <v>0</v>
      </c>
      <c r="AL21" s="1098">
        <f t="shared" si="5"/>
        <v>82</v>
      </c>
      <c r="AM21" s="1098">
        <f t="shared" si="5"/>
        <v>111</v>
      </c>
      <c r="AN21" s="1098">
        <f t="shared" si="5"/>
        <v>0</v>
      </c>
      <c r="AO21" s="1098">
        <f t="shared" si="5"/>
        <v>0</v>
      </c>
      <c r="AP21" s="1098">
        <f>IF(ISNUMBER(((Datos!L21/Datos!K21)*11)/factor_trimestre),((Datos!L21/Datos!K21)*11)/factor_trimestre," - ")</f>
        <v>11.634453781512606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-0.14285714285714285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3.4495975469528553E-2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9.3333333333333339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8.0829037686547611</v>
      </c>
      <c r="G23" s="871">
        <f>IF(ISNUMBER(STDEV(G8:G20)),STDEV(G8:G20),"-")</f>
        <v>8.0829037686547611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46.202453037329811</v>
      </c>
      <c r="AM23" s="870"/>
      <c r="AN23" s="870">
        <f>IF(ISNUMBER(STDEV(AN8:AN20)),STDEV(AN8:AN20),"-")</f>
        <v>0</v>
      </c>
      <c r="AO23" s="876">
        <f>IF(ISNUMBER(STDEV(AO8:AO20)),STDEV(AO8:AO20),"-")</f>
        <v>0</v>
      </c>
      <c r="AP23" s="923">
        <f>IF(ISNUMBER(STDEV(AP8:AP20)),STDEV(AP8:AP20),"-")</f>
        <v>8.2563285300898066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MD9/tDjosA6i3/FSJYU/55L4X00I6YxTxXpNZ1L8EDvt0pj9WF8m+ooxOvvd2BjIa/7XWV7faltVIL4iFbudw==" saltValue="UEgKTSnVlSRHbKUd/5iI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CANGAS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G5Qi43gyOf45w/B60L8TJudUSFtXqAUmVsEir2qClDFfcOtNzv4z4AVHA53QUesk0ls9mK/0sjUx/te30Ti/CQ==" saltValue="mOipFIipID2ktptnmZi86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CANGAS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80</v>
      </c>
      <c r="E12" s="416">
        <f t="shared" si="0"/>
        <v>26.666666666666668</v>
      </c>
      <c r="F12" s="415">
        <f>IF(ISNUMBER(Datos!N12),Datos!N12," - ")</f>
        <v>111</v>
      </c>
      <c r="G12" s="416">
        <f t="shared" si="1"/>
        <v>37</v>
      </c>
      <c r="H12" s="415">
        <f>IF(ISNUMBER(Datos!O12),Datos!O12," - ")</f>
        <v>165</v>
      </c>
      <c r="I12" s="416">
        <f t="shared" si="2"/>
        <v>55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82</v>
      </c>
      <c r="E14" s="997">
        <f t="shared" si="0"/>
        <v>20.5</v>
      </c>
      <c r="F14" s="996">
        <f>SUBTOTAL(9,F9:F13)</f>
        <v>111</v>
      </c>
      <c r="G14" s="997">
        <f t="shared" si="1"/>
        <v>27.75</v>
      </c>
      <c r="H14" s="996">
        <f>SUBTOTAL(9,H9:H13)</f>
        <v>165</v>
      </c>
      <c r="I14" s="997">
        <f>IF(ISNUMBER(H14/B14),H14/B14," - ")</f>
        <v>41.25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51</v>
      </c>
      <c r="E17" s="416">
        <f t="shared" si="3"/>
        <v>17</v>
      </c>
      <c r="F17" s="415">
        <f>IF(ISNUMBER(Datos!N17),Datos!N17," - ")</f>
        <v>239</v>
      </c>
      <c r="G17" s="416">
        <f t="shared" si="4"/>
        <v>79.666666666666671</v>
      </c>
      <c r="H17" s="415">
        <f>IF(ISNUMBER(Datos!O17),Datos!O17," - ")</f>
        <v>2</v>
      </c>
      <c r="I17" s="416">
        <f t="shared" si="5"/>
        <v>0.66666666666666663</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33</v>
      </c>
      <c r="G18" s="416">
        <f>IF(ISNUMBER(F18/B18),F18/B18," - ")</f>
        <v>33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54</v>
      </c>
      <c r="E20" s="997">
        <f t="shared" si="3"/>
        <v>13.5</v>
      </c>
      <c r="F20" s="996">
        <f>SUBTOTAL(9,F16:F19)</f>
        <v>272</v>
      </c>
      <c r="G20" s="997">
        <f t="shared" si="4"/>
        <v>68</v>
      </c>
      <c r="H20" s="996">
        <f>SUBTOTAL(9,H16:H19)</f>
        <v>2</v>
      </c>
      <c r="I20" s="997">
        <f>IF(ISNUMBER(H20/B20),H20/B20," - ")</f>
        <v>0.5</v>
      </c>
    </row>
    <row r="21" spans="1:9" ht="14.25" thickTop="1" thickBot="1">
      <c r="A21" s="940" t="str">
        <f>Datos!A21</f>
        <v>TOTAL JURISDICCIONES</v>
      </c>
      <c r="B21" s="941">
        <f>Datos!AP21</f>
        <v>3</v>
      </c>
      <c r="C21" s="941">
        <f>Datos!AR21</f>
        <v>3</v>
      </c>
      <c r="D21" s="941">
        <f>SUBTOTAL(9,D8:D20)</f>
        <v>136</v>
      </c>
      <c r="E21" s="942">
        <f>IF(ISNUMBER(D21/B21),D21/B21," - ")</f>
        <v>45.333333333333336</v>
      </c>
      <c r="F21" s="941">
        <f>SUBTOTAL(9,F8:F20)</f>
        <v>383</v>
      </c>
      <c r="G21" s="942">
        <f>IF(ISNUMBER(F21/B21),F21/B21," - ")</f>
        <v>127.66666666666667</v>
      </c>
      <c r="H21" s="941">
        <f>SUBTOTAL(9,H8:H20)</f>
        <v>167</v>
      </c>
      <c r="I21" s="942">
        <f>IF(ISNUMBER(H21/B21),H21/B21," - ")</f>
        <v>55.666666666666664</v>
      </c>
    </row>
    <row r="24" spans="1:9">
      <c r="A24" s="403" t="str">
        <f>Criterios!A4</f>
        <v>Fecha Informe: 06 jun. 2023</v>
      </c>
    </row>
    <row r="29" spans="1:9">
      <c r="A29" s="426"/>
    </row>
  </sheetData>
  <sheetProtection algorithmName="SHA-512" hashValue="y5dsSzq4XklJu1pTyBzYb77qKfQJRzpfzdbg1GbNXWMYowkJeiZl/9TakEpnjLik85kx+et2Flqd3lip408Now==" saltValue="mMnEdIaxcIE5W6rPvWRh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CANGAS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118</v>
      </c>
      <c r="C12" s="451">
        <f>IF(ISNUMBER(Datos!Q12),Datos!Q12," - ")</f>
        <v>53</v>
      </c>
      <c r="D12" s="420">
        <f>IF(ISNUMBER(Datos!R12),Datos!R12," - ")</f>
        <v>2588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118</v>
      </c>
      <c r="C14" s="1000">
        <f>SUBTOTAL(9,C9:C13)</f>
        <v>53</v>
      </c>
      <c r="D14" s="998">
        <f>SUBTOTAL(9,D9:D13)</f>
        <v>2607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28</v>
      </c>
      <c r="C17" s="451">
        <f>IF(ISNUMBER(Datos!Q17),Datos!Q17," - ")</f>
        <v>3</v>
      </c>
      <c r="D17" s="420">
        <f>IF(ISNUMBER(Datos!R17),Datos!R17," - ")</f>
        <v>92</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28</v>
      </c>
      <c r="C20" s="1000">
        <f>SUBTOTAL(9,C16:C19)</f>
        <v>3</v>
      </c>
      <c r="D20" s="998">
        <f>SUBTOTAL(9,D16:D19)</f>
        <v>92</v>
      </c>
    </row>
    <row r="21" spans="1:4" ht="16.5" customHeight="1" thickTop="1" thickBot="1">
      <c r="A21" s="940" t="str">
        <f>Datos!A21</f>
        <v>TOTAL JURISDICCIONES</v>
      </c>
      <c r="B21" s="945">
        <f>SUBTOTAL(9,B8:B20)</f>
        <v>146</v>
      </c>
      <c r="C21" s="946">
        <f>SUBTOTAL(9,C8:C20)</f>
        <v>56</v>
      </c>
      <c r="D21" s="947">
        <f>SUBTOTAL(9,D8:D20)</f>
        <v>2699</v>
      </c>
    </row>
    <row r="22" spans="1:4" ht="7.5" customHeight="1"/>
    <row r="23" spans="1:4" ht="6" customHeight="1"/>
    <row r="24" spans="1:4">
      <c r="A24" s="403" t="str">
        <f>Criterios!A4</f>
        <v>Fecha Informe: 06 jun. 2023</v>
      </c>
    </row>
    <row r="29" spans="1:4">
      <c r="A29" s="426"/>
    </row>
  </sheetData>
  <sheetProtection algorithmName="SHA-512" hashValue="ZEPYYTKP+89Rej942HG/DzmW+15VtkSjqihlabsnXM9B0/HcDCotRHHghTiS7haKgsxAhIB3ncif7B0dnSkZiA==" saltValue="eGOgqHssQ6flU7k+i6bz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CANGAS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v>
      </c>
      <c r="C10" s="473">
        <f>IF(ISNUMBER((Datos!J10-Datos!T10)/Datos!T10),(Datos!J10-Datos!T10)/Datos!T10," - ")</f>
        <v>0.66666666666666663</v>
      </c>
      <c r="D10" s="473">
        <f>IF(ISNUMBER((Datos!K10-Datos!U10)/Datos!U10),(Datos!K10-Datos!U10)/Datos!U10," - ")</f>
        <v>-0.33333333333333331</v>
      </c>
      <c r="E10" s="473">
        <f>IF(ISNUMBER((Datos!L10-Datos!V10)/Datos!V10),(Datos!L10-Datos!V10)/Datos!V10," - ")</f>
        <v>-0.15</v>
      </c>
      <c r="F10" s="473">
        <f>IF(ISNUMBER((Datos!M10-Datos!W10)/Datos!W10),(Datos!M10-Datos!W10)/Datos!W10," - ")</f>
        <v>-0.33333333333333331</v>
      </c>
      <c r="G10" s="474" t="str">
        <f>IF(ISNUMBER((Datos!N10-Datos!X10)/Datos!X10),(Datos!N10-Datos!X10)/Datos!X10," - ")</f>
        <v xml:space="preserve"> - </v>
      </c>
      <c r="H10" s="472">
        <f>IF(ISNUMBER(((NºAsuntos!G10/NºAsuntos!E10)-Datos!BD10)/Datos!BD10),((NºAsuntos!G10/NºAsuntos!E10)-Datos!BD10)/Datos!BD10," - ")</f>
        <v>-0.6</v>
      </c>
      <c r="I10" s="473">
        <f>IF(ISNUMBER(((NºAsuntos!I10/NºAsuntos!G10)-Datos!BE10)/Datos!BE10),((NºAsuntos!I10/NºAsuntos!G10)-Datos!BE10)/Datos!BE10," - ")</f>
        <v>0.27499999999999997</v>
      </c>
      <c r="J10" s="478">
        <f>IF(ISNUMBER((('Resol  Asuntos'!D10/NºAsuntos!G10)-Datos!BF10)/Datos!BF10),(('Resol  Asuntos'!D10/NºAsuntos!G10)-Datos!BF10)/Datos!BF10," - ")</f>
        <v>0</v>
      </c>
      <c r="K10" s="479">
        <f>IF(ISNUMBER((((NºAsuntos!C10+NºAsuntos!E10)/NºAsuntos!G10)-Datos!BG10)/Datos!BG10),(((NºAsuntos!C10+NºAsuntos!E10)/NºAsuntos!G10)-Datos!BG10)/Datos!BG10," - ")</f>
        <v>0.23913043478260865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0.22580645161290322</v>
      </c>
      <c r="C12" s="473">
        <f>IF(ISNUMBER(
   IF(J_V="SI",(Datos!J12-Datos!T12)/Datos!T12,(Datos!J12+Datos!Z12-(Datos!T12+Datos!AH12))/(Datos!T12+Datos!AH12))
     ),IF(J_V="SI",(Datos!J12-Datos!T12)/Datos!T12,(Datos!J12+Datos!Z12-(Datos!T12+Datos!AH12))/(Datos!T12+Datos!AH12))," - ")</f>
        <v>-1.2068965517241379E-2</v>
      </c>
      <c r="D12" s="473">
        <f>IF(ISNUMBER(
   IF(J_V="SI",(Datos!K12-Datos!U12)/Datos!U12,(Datos!K12+Datos!AA12-(Datos!U12+Datos!AI12))/(Datos!U12+Datos!AI12))
     ),IF(J_V="SI",(Datos!K12-Datos!U12)/Datos!U12,(Datos!K12+Datos!AA12-(Datos!U12+Datos!AI12))/(Datos!U12+Datos!AI12))," - ")</f>
        <v>-0.31547619047619047</v>
      </c>
      <c r="E12" s="473">
        <f>IF(ISNUMBER(
   IF(J_V="SI",(Datos!L12-Datos!V12)/Datos!V12,(Datos!L12+Datos!AB12-(Datos!V12+Datos!AJ12))/(Datos!V12+Datos!AJ12))
     ),IF(J_V="SI",(Datos!L12-Datos!V12)/Datos!V12,(Datos!L12+Datos!AB12-(Datos!V12+Datos!AJ12))/(Datos!V12+Datos!AJ12))," - ")</f>
        <v>0.27073459715639808</v>
      </c>
      <c r="F12" s="473">
        <f>IF(ISNUMBER((Datos!M12-Datos!W12)/Datos!W12),(Datos!M12-Datos!W12)/Datos!W12," - ")</f>
        <v>-0.47712418300653597</v>
      </c>
      <c r="G12" s="474">
        <f>IF(ISNUMBER((Datos!N12-Datos!X12)/Datos!X12),(Datos!N12-Datos!X12)/Datos!X12," - ")</f>
        <v>-0.112</v>
      </c>
      <c r="H12" s="472">
        <f>IF(ISNUMBER(((NºAsuntos!G12/NºAsuntos!E12)-Datos!BD12)/Datos!BD12),((NºAsuntos!G12/NºAsuntos!E12)-Datos!BD12)/Datos!BD12," - ")</f>
        <v>-0.30711377046455574</v>
      </c>
      <c r="I12" s="473">
        <f>IF(ISNUMBER(((NºAsuntos!I12/NºAsuntos!G12)-Datos!BE12)/Datos!BE12),((NºAsuntos!I12/NºAsuntos!G12)-Datos!BE12)/Datos!BE12," - ")</f>
        <v>0.85637749845456412</v>
      </c>
      <c r="J12" s="478">
        <f>IF(ISNUMBER((('Resol  Asuntos'!D12/NºAsuntos!G12)-Datos!BF12)/Datos!BF12),(('Resol  Asuntos'!D12/NºAsuntos!G12)-Datos!BF12)/Datos!BF12," - ")</f>
        <v>-6.5043478260869578E-2</v>
      </c>
      <c r="K12" s="479">
        <f>IF(ISNUMBER((((NºAsuntos!C12+NºAsuntos!E12)/NºAsuntos!G12)-Datos!BG12)/Datos!BG12),(((NºAsuntos!C12+NºAsuntos!E12)/NºAsuntos!G12)-Datos!BG12)/Datos!BG12," - ")</f>
        <v>0.69879403364011439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0.21936274509803921</v>
      </c>
      <c r="C14" s="1002">
        <f>IF(ISNUMBER(
   IF(J_V="SI",(Datos!J14-Datos!T14)/Datos!T14,(Datos!J14+Datos!Z14-(Datos!T14+Datos!AH14))/(Datos!T14+Datos!AH14))
     ),IF(J_V="SI",(Datos!J14-Datos!T14)/Datos!T14,(Datos!J14+Datos!Z14-(Datos!T14+Datos!AH14))/(Datos!T14+Datos!AH14))," - ")</f>
        <v>-8.5763293310463125E-3</v>
      </c>
      <c r="D14" s="1002">
        <f>IF(ISNUMBER(
   IF(J_V="SI",(Datos!K14-Datos!U14)/Datos!U14,(Datos!K14+Datos!AA14-(Datos!U14+Datos!AI14))/(Datos!U14+Datos!AI14))
     ),IF(J_V="SI",(Datos!K14-Datos!U14)/Datos!U14,(Datos!K14+Datos!AA14-(Datos!U14+Datos!AI14))/(Datos!U14+Datos!AI14))," - ")</f>
        <v>-0.31558185404339251</v>
      </c>
      <c r="E14" s="1002">
        <f>IF(ISNUMBER(
   IF(J_V="SI",(Datos!L14-Datos!V14)/Datos!V14,(Datos!L14+Datos!AB14-(Datos!V14+Datos!AJ14))/(Datos!V14+Datos!AJ14))
     ),IF(J_V="SI",(Datos!L14-Datos!V14)/Datos!V14,(Datos!L14+Datos!AB14-(Datos!V14+Datos!AJ14))/(Datos!V14+Datos!AJ14))," - ")</f>
        <v>0.26580796252927402</v>
      </c>
      <c r="F14" s="1003">
        <f>IF(ISNUMBER((Datos!M14-Datos!W14)/Datos!W14),(Datos!M14-Datos!W14)/Datos!W14," - ")</f>
        <v>-0.47435897435897434</v>
      </c>
      <c r="G14" s="1004">
        <f>IF(ISNUMBER((Datos!N14-Datos!X14)/Datos!X14),(Datos!N14-Datos!X14)/Datos!X14," - ")</f>
        <v>-0.112</v>
      </c>
      <c r="H14" s="1004">
        <f>IF(ISNUMBER(((NºAsuntos!G14/NºAsuntos!E14)-Datos!BD14)/Datos!BD14),((NºAsuntos!G14/NºAsuntos!E14)-Datos!BD14)/Datos!BD14," - ")</f>
        <v>-0.30966128184653602</v>
      </c>
      <c r="I14" s="1004">
        <f>IF(ISNUMBER(((NºAsuntos!I14/NºAsuntos!G14)-Datos!BE14)/Datos!BE14),((NºAsuntos!I14/NºAsuntos!G14)-Datos!BE14)/Datos!BE14," - ")</f>
        <v>0.84946581268686427</v>
      </c>
      <c r="J14" s="1004">
        <f>IF(ISNUMBER((('Resol  Asuntos'!D14/NºAsuntos!G14)-Datos!BF14)/Datos!BF14),(('Resol  Asuntos'!D14/NºAsuntos!G14)-Datos!BF14)/Datos!BF14," - ")</f>
        <v>-6.3985951008645542E-2</v>
      </c>
      <c r="K14" s="1004">
        <f>IF(ISNUMBER((((NºAsuntos!C14+NºAsuntos!E14)/NºAsuntos!G14)-Datos!BG14)/Datos!BG14),(((NºAsuntos!C14+NºAsuntos!E14)/NºAsuntos!G14)-Datos!BG14)/Datos!BG14," - ")</f>
        <v>0.69394682574274158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0.30830039525691699</v>
      </c>
      <c r="C17" s="473">
        <f>IF(ISNUMBER(
   IF(D_I="SI",(Datos!J17-Datos!T17)/Datos!T17,(Datos!J17+Datos!AD17-(Datos!T17+Datos!AL17))/(Datos!T17+Datos!AL17))
     ),IF(D_I="SI",(Datos!J17-Datos!T17)/Datos!T17,(Datos!J17+Datos!AD17-(Datos!T17+Datos!AL17))/(Datos!T17+Datos!AL17))," - ")</f>
        <v>-0.31691297208538588</v>
      </c>
      <c r="D17" s="473">
        <f>IF(ISNUMBER(
   IF(D_I="SI",(Datos!K17-Datos!U17)/Datos!U17,(Datos!K17+Datos!AE17-(Datos!U17+Datos!AM17))/(Datos!U17+Datos!AM17))
     ),IF(D_I="SI",(Datos!K17-Datos!U17)/Datos!U17,(Datos!K17+Datos!AE17-(Datos!U17+Datos!AM17))/(Datos!U17+Datos!AM17))," - ")</f>
        <v>-0.41235392320534225</v>
      </c>
      <c r="E17" s="473">
        <f>IF(ISNUMBER(
   IF(D_I="SI",(Datos!L17-Datos!V17)/Datos!V17,(Datos!L17+Datos!AF17-(Datos!V17+Datos!AN17))/(Datos!V17+Datos!AN17))
     ),IF(D_I="SI",(Datos!L17-Datos!V17)/Datos!V17,(Datos!L17+Datos!AF17-(Datos!V17+Datos!AN17))/(Datos!V17+Datos!AN17))," - ")</f>
        <v>0.41505791505791506</v>
      </c>
      <c r="F17" s="473">
        <f>IF(ISNUMBER((Datos!M17-Datos!W17)/Datos!W17),(Datos!M17-Datos!W17)/Datos!W17," - ")</f>
        <v>-0.44565217391304346</v>
      </c>
      <c r="G17" s="474">
        <f>IF(ISNUMBER((Datos!N17-Datos!X17)/Datos!X17),(Datos!N17-Datos!X17)/Datos!X17," - ")</f>
        <v>-0.4170731707317073</v>
      </c>
      <c r="H17" s="472">
        <f>IF(ISNUMBER(((NºAsuntos!G17/NºAsuntos!E17)-Datos!BD17)/Datos!BD17),((NºAsuntos!G17/NºAsuntos!E17)-Datos!BD17)/Datos!BD17," - ")</f>
        <v>-0.13972004623089768</v>
      </c>
      <c r="I17" s="473">
        <f>IF(ISNUMBER(((NºAsuntos!I17/NºAsuntos!G17)-Datos!BE17)/Datos!BE17),((NºAsuntos!I17/NºAsuntos!G17)-Datos!BE17)/Datos!BE17," - ")</f>
        <v>1.4080104861354863</v>
      </c>
      <c r="J17" s="478">
        <f>IF(ISNUMBER((('Resol  Asuntos'!D17/NºAsuntos!G17)-Datos!BF17)/Datos!BF17),(('Resol  Asuntos'!D17/NºAsuntos!G17)-Datos!BF17)/Datos!BF17," - ")</f>
        <v>-5.6663784584980149E-2</v>
      </c>
      <c r="K17" s="479">
        <f>IF(ISNUMBER((((NºAsuntos!C17+NºAsuntos!E17)/NºAsuntos!G17)-Datos!BG17)/Datos!BG17),(((NºAsuntos!C17+NºAsuntos!E17)/NºAsuntos!G17)-Datos!BG17)/Datos!BG17," - ")</f>
        <v>0.64523542600896855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0.13461538461538461</v>
      </c>
      <c r="C18" s="473">
        <f>IF(ISNUMBER(
   IF(D_I="SI",(Datos!J18-Datos!T18)/Datos!T18,(Datos!J18+Datos!AD18-(Datos!T18+Datos!AL18))/(Datos!T18+Datos!AL18))
     ),IF(D_I="SI",(Datos!J18-Datos!T18)/Datos!T18,(Datos!J18+Datos!AD18-(Datos!T18+Datos!AL18))/(Datos!T18+Datos!AL18))," - ")</f>
        <v>-0.17142857142857143</v>
      </c>
      <c r="D18" s="473">
        <f>IF(ISNUMBER(
   IF(D_I="SI",(Datos!K18-Datos!U18)/Datos!U18,(Datos!K18+Datos!AE18-(Datos!U18+Datos!AM18))/(Datos!U18+Datos!AM18))
     ),IF(D_I="SI",(Datos!K18-Datos!U18)/Datos!U18,(Datos!K18+Datos!AE18-(Datos!U18+Datos!AM18))/(Datos!U18+Datos!AM18))," - ")</f>
        <v>0.37142857142857144</v>
      </c>
      <c r="E18" s="473">
        <f>IF(ISNUMBER(
   IF(D_I="SI",(Datos!L18-Datos!V18)/Datos!V18,(Datos!L18+Datos!AF18-(Datos!V18+Datos!AN18))/(Datos!V18+Datos!AN18))
     ),IF(D_I="SI",(Datos!L18-Datos!V18)/Datos!V18,(Datos!L18+Datos!AF18-(Datos!V18+Datos!AN18))/(Datos!V18+Datos!AN18))," - ")</f>
        <v>-0.23076923076923078</v>
      </c>
      <c r="F18" s="473">
        <f>IF(ISNUMBER((Datos!M18-Datos!W18)/Datos!W18),(Datos!M18-Datos!W18)/Datos!W18," - ")</f>
        <v>0.5</v>
      </c>
      <c r="G18" s="474">
        <f>IF(ISNUMBER((Datos!N18-Datos!X18)/Datos!X18),(Datos!N18-Datos!X18)/Datos!X18," - ")</f>
        <v>0.5714285714285714</v>
      </c>
      <c r="H18" s="472">
        <f>IF(ISNUMBER(((NºAsuntos!G18/NºAsuntos!E18)-Datos!BD18)/Datos!BD18),((NºAsuntos!G18/NºAsuntos!E18)-Datos!BD18)/Datos!BD18," - ")</f>
        <v>0.65517241379310343</v>
      </c>
      <c r="I18" s="473">
        <f>IF(ISNUMBER(((NºAsuntos!I18/NºAsuntos!G18)-Datos!BE18)/Datos!BE18),((NºAsuntos!I18/NºAsuntos!G18)-Datos!BE18)/Datos!BE18," - ")</f>
        <v>-0.4391025641025641</v>
      </c>
      <c r="J18" s="478">
        <f>IF(ISNUMBER((('Resol  Asuntos'!D18/NºAsuntos!G18)-Datos!BF18)/Datos!BF18),(('Resol  Asuntos'!D18/NºAsuntos!G18)-Datos!BF18)/Datos!BF18," - ")</f>
        <v>9.3750000000000028E-2</v>
      </c>
      <c r="K18" s="479">
        <f>IF(ISNUMBER((((NºAsuntos!C18+NºAsuntos!E18)/NºAsuntos!G18)-Datos!BG18)/Datos!BG18),(((NºAsuntos!C18+NºAsuntos!E18)/NºAsuntos!G18)-Datos!BG18)/Datos!BG18," - ")</f>
        <v>-0.26245210727969354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0.29211469534050177</v>
      </c>
      <c r="C20" s="1002">
        <f>IF(ISNUMBER(
   IF(Criterios!B14="SI",(Datos!J20-Datos!T20)/Datos!T20,(Datos!J20+Datos!AD20-(Datos!T20+Datos!AL20))/(Datos!T20+Datos!AL20))
     ),IF(Criterios!B14="SI",(Datos!J20-Datos!T20)/Datos!T20,(Datos!J20+Datos!AD20-(Datos!T20+Datos!AL20))/(Datos!T20+Datos!AL20))," - ")</f>
        <v>-0.30900621118012422</v>
      </c>
      <c r="D20" s="1002">
        <f>IF(ISNUMBER(
   IF(Criterios!B14="SI",(Datos!K20-Datos!U20)/Datos!U20,(Datos!K20+Datos!AE20-(Datos!U20+Datos!AM20))/(Datos!U20+Datos!AM20))
     ),IF(Criterios!B14="SI",(Datos!K20-Datos!U20)/Datos!U20,(Datos!K20+Datos!AE20-(Datos!U20+Datos!AM20))/(Datos!U20+Datos!AM20))," - ")</f>
        <v>-0.36908517350157727</v>
      </c>
      <c r="E20" s="1002">
        <f>IF(ISNUMBER(
   IF(Criterios!B14="SI",(Datos!L20-Datos!V20)/Datos!V20,(Datos!L20+Datos!AF20-(Datos!V20+Datos!AN20))/(Datos!V20+Datos!AN20))
     ),IF(Criterios!B14="SI",(Datos!L20-Datos!V20)/Datos!V20,(Datos!L20+Datos!AF20-(Datos!V20+Datos!AN20))/(Datos!V20+Datos!AN20))," - ")</f>
        <v>0.35614035087719298</v>
      </c>
      <c r="F20" s="1003">
        <f>IF(ISNUMBER((Datos!M20-Datos!W20)/Datos!W20),(Datos!M20-Datos!W20)/Datos!W20," - ")</f>
        <v>-0.42553191489361702</v>
      </c>
      <c r="G20" s="1004">
        <f>IF(ISNUMBER((Datos!N20-Datos!X20)/Datos!X20),(Datos!N20-Datos!X20)/Datos!X20," - ")</f>
        <v>-0.36890951276102091</v>
      </c>
      <c r="H20" s="1004">
        <f>IF(ISNUMBER(((NºAsuntos!G20/NºAsuntos!E20)-Datos!BD20)/Datos!BD20),((NºAsuntos!G20/NºAsuntos!E20)-Datos!BD20)/Datos!BD20," - ")</f>
        <v>-8.6945734235990557E-2</v>
      </c>
      <c r="I20" s="1004">
        <f>IF(ISNUMBER(((NºAsuntos!I20/NºAsuntos!G20)-Datos!BE20)/Datos!BE20),((NºAsuntos!I20/NºAsuntos!G20)-Datos!BE20)/Datos!BE20," - ")</f>
        <v>1.1494824561403512</v>
      </c>
      <c r="J20" s="1004">
        <f>IF(ISNUMBER((('Resol  Asuntos'!D20/NºAsuntos!G20)-Datos!BF20)/Datos!BF20),(('Resol  Asuntos'!D20/NºAsuntos!G20)-Datos!BF20)/Datos!BF20," - ")</f>
        <v>-8.9468085106382877E-2</v>
      </c>
      <c r="K20" s="1004">
        <f>IF(ISNUMBER((((NºAsuntos!C20+NºAsuntos!E20)/NºAsuntos!G20)-Datos!BG20)/Datos!BG20),(((NºAsuntos!C20+NºAsuntos!E20)/NºAsuntos!G20)-Datos!BG20)/Datos!BG20," - ")</f>
        <v>0.53752911813643933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0.23789954337899544</v>
      </c>
      <c r="C21" s="949">
        <f>IF(ISNUMBER(
   IF(J_V="SI",(Datos!J21-Datos!T21)/Datos!T21,(Datos!J21+Datos!Z21-(Datos!T21+Datos!AH21))/(Datos!T21+Datos!AH21))
     ),IF(J_V="SI",(Datos!J21-Datos!T21)/Datos!T21,(Datos!J21+Datos!Z21-(Datos!T21+Datos!AH21))/(Datos!T21+Datos!AH21))," - ")</f>
        <v>-0.16625916870415647</v>
      </c>
      <c r="D21" s="949">
        <f>IF(ISNUMBER(
   IF(J_V="SI",(Datos!K21-Datos!U21)/Datos!U21,(Datos!K21+Datos!AA21-(Datos!U21+Datos!AI21))/(Datos!U21+Datos!AI21))
     ),IF(J_V="SI",(Datos!K21-Datos!U21)/Datos!U21,(Datos!K21+Datos!AA21-(Datos!U21+Datos!AI21))/(Datos!U21+Datos!AI21))," - ")</f>
        <v>-0.3453111305872042</v>
      </c>
      <c r="E21" s="949">
        <f>IF(ISNUMBER(
   IF(J_V="SI",(Datos!L21-Datos!V21)/Datos!V21,(Datos!L21+Datos!AB21-(Datos!V21+Datos!AJ21))/(Datos!V21+Datos!AJ21))
     ),IF(J_V="SI",(Datos!L21-Datos!V21)/Datos!V21,(Datos!L21+Datos!AB21-(Datos!V21+Datos!AJ21))/(Datos!V21+Datos!AJ21))," - ")</f>
        <v>0.28841088674275678</v>
      </c>
      <c r="F21" s="950">
        <f>IF(ISNUMBER((Datos!M21-Datos!W21)/Datos!W21),(Datos!M21-Datos!W21)/Datos!W21," - ")</f>
        <v>-0.45600000000000002</v>
      </c>
      <c r="G21" s="951">
        <f>IF(ISNUMBER((Datos!N21-Datos!X21)/Datos!X21),(Datos!N21-Datos!X21)/Datos!X21," - ")</f>
        <v>-0.31115107913669066</v>
      </c>
      <c r="H21" s="952">
        <f>IF(ISNUMBER((Tasas!B21-Datos!BD21)/Datos!BD21),(Tasas!B21-Datos!BD21)/Datos!BD21," - ")</f>
        <v>-0.21475733844623612</v>
      </c>
      <c r="I21" s="953">
        <f>IF(ISNUMBER((Tasas!C21-Datos!BE21)/Datos!BE21),(Tasas!C21-Datos!BE21)/Datos!BE21," - ")</f>
        <v>0.96797432633666058</v>
      </c>
      <c r="J21" s="954">
        <f>IF(ISNUMBER((Tasas!D21-Datos!BF21)/Datos!BF21),(Tasas!D21-Datos!BF21)/Datos!BF21," - ")</f>
        <v>-6.4269088365473986E-2</v>
      </c>
      <c r="K21" s="954">
        <f>IF(ISNUMBER((Tasas!E21-Datos!BG21)/Datos!BG21),(Tasas!E21-Datos!BG21)/Datos!BG21," - ")</f>
        <v>0.66914619751075322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Wn0Kjsg11zUzWTXyFwTgjbfHdzpNh6bYLyLz8haq1ZXJlYt/MQkNdVYzTNgrVAi/+rJJamqKJPvpNuc0xOeQ==" saltValue="6q/ee6MlOCV0Jnt7gvYS9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CANGAS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0.4</v>
      </c>
      <c r="C10" s="460">
        <f>IF(ISNUMBER(NºAsuntos!I10/NºAsuntos!G10),NºAsuntos!I10/NºAsuntos!G10," - ")</f>
        <v>8.5</v>
      </c>
      <c r="D10" s="461">
        <f>IF(ISNUMBER('Resol  Asuntos'!D10/NºAsuntos!G10),'Resol  Asuntos'!D10/NºAsuntos!G10," - ")</f>
        <v>1</v>
      </c>
      <c r="E10" s="462">
        <f>IF(ISNUMBER((NºAsuntos!C10+NºAsuntos!E10)/NºAsuntos!G10),(NºAsuntos!C10+NºAsuntos!E10)/NºAsuntos!G10," - ")</f>
        <v>9.5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0.60209424083769636</v>
      </c>
      <c r="C12" s="460">
        <f>IF(ISNUMBER(NºAsuntos!I12/NºAsuntos!G12),NºAsuntos!I12/NºAsuntos!G12," - ")</f>
        <v>6.2173913043478262</v>
      </c>
      <c r="D12" s="461">
        <f>IF(ISNUMBER('Resol  Asuntos'!D12/NºAsuntos!G12),'Resol  Asuntos'!D12/NºAsuntos!G12," - ")</f>
        <v>0.2318840579710145</v>
      </c>
      <c r="E12" s="462">
        <f>IF(ISNUMBER((NºAsuntos!C12+NºAsuntos!E12)/NºAsuntos!G12),(NºAsuntos!C12+NºAsuntos!E12)/NºAsuntos!G12," - ")</f>
        <v>7.3884057971014494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0.60034602076124566</v>
      </c>
      <c r="C14" s="1006">
        <f>IF(ISNUMBER(NºAsuntos!I14/NºAsuntos!G14),NºAsuntos!I14/NºAsuntos!G14," - ")</f>
        <v>6.2305475504322763</v>
      </c>
      <c r="D14" s="1007">
        <f>IF(ISNUMBER('Resol  Asuntos'!D14/NºAsuntos!G14),'Resol  Asuntos'!D14/NºAsuntos!G14," - ")</f>
        <v>0.23631123919308358</v>
      </c>
      <c r="E14" s="1008">
        <f>IF(ISNUMBER((NºAsuntos!C14+NºAsuntos!E14)/NºAsuntos!G14),(NºAsuntos!C14+NºAsuntos!E14)/NºAsuntos!G14," - ")</f>
        <v>7.4005763688760808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0.84615384615384615</v>
      </c>
      <c r="C17" s="460">
        <f>IF(ISNUMBER(NºAsuntos!I17/NºAsuntos!G17),NºAsuntos!I17/NºAsuntos!G17," - ")</f>
        <v>2.0823863636363638</v>
      </c>
      <c r="D17" s="461">
        <f>IF(ISNUMBER('Resol  Asuntos'!D17/NºAsuntos!G17),'Resol  Asuntos'!D17/NºAsuntos!G17," - ")</f>
        <v>0.14488636363636365</v>
      </c>
      <c r="E17" s="462">
        <f>IF(ISNUMBER((NºAsuntos!C17+NºAsuntos!E17)/NºAsuntos!G17),(NºAsuntos!C17+NºAsuntos!E17)/NºAsuntos!G17," - ")</f>
        <v>3.0625</v>
      </c>
      <c r="G17" s="480"/>
    </row>
    <row r="18" spans="1:7">
      <c r="A18" s="414" t="str">
        <f>Datos!A18</f>
        <v>Jdos. Violencia contra la mujer</v>
      </c>
      <c r="B18" s="459">
        <f>IF(ISNUMBER(NºAsuntos!G18/NºAsuntos!E18),NºAsuntos!G18/NºAsuntos!E18," - ")</f>
        <v>1.6551724137931034</v>
      </c>
      <c r="C18" s="460">
        <f>IF(ISNUMBER(NºAsuntos!I18/NºAsuntos!G18),NºAsuntos!I18/NºAsuntos!G18," - ")</f>
        <v>0.83333333333333337</v>
      </c>
      <c r="D18" s="461">
        <f>IF(ISNUMBER('Resol  Asuntos'!D18/NºAsuntos!G18),'Resol  Asuntos'!D18/NºAsuntos!G18," - ")</f>
        <v>6.25E-2</v>
      </c>
      <c r="E18" s="462">
        <f>IF(ISNUMBER((NºAsuntos!C18+NºAsuntos!E18)/NºAsuntos!G18),(NºAsuntos!C18+NºAsuntos!E18)/NºAsuntos!G18," - ")</f>
        <v>1.8333333333333333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0.898876404494382</v>
      </c>
      <c r="C20" s="1006">
        <f>IF(ISNUMBER(NºAsuntos!I20/NºAsuntos!G20),NºAsuntos!I20/NºAsuntos!G20," - ")</f>
        <v>1.9325000000000001</v>
      </c>
      <c r="D20" s="1009">
        <f>IF(ISNUMBER('Resol  Asuntos'!D20/NºAsuntos!G20),'Resol  Asuntos'!D20/NºAsuntos!G20," - ")</f>
        <v>0.13500000000000001</v>
      </c>
      <c r="E20" s="1008">
        <f>IF(ISNUMBER((NºAsuntos!C20+NºAsuntos!E20)/NºAsuntos!G20),(NºAsuntos!C20+NºAsuntos!E20)/NºAsuntos!G20," - ")</f>
        <v>2.915</v>
      </c>
      <c r="G20" s="480"/>
    </row>
    <row r="21" spans="1:7" ht="15.75" customHeight="1" thickTop="1" thickBot="1">
      <c r="A21" s="940" t="str">
        <f>Datos!A21</f>
        <v>TOTAL JURISDICCIONES</v>
      </c>
      <c r="B21" s="955">
        <f>IF(ISNUMBER(NºAsuntos!G21/NºAsuntos!E21),NºAsuntos!G21/NºAsuntos!E21," - ")</f>
        <v>0.73020527859237538</v>
      </c>
      <c r="C21" s="956">
        <f>IF(ISNUMBER(NºAsuntos!I21/NºAsuntos!G21),NºAsuntos!I21/NºAsuntos!G21," - ")</f>
        <v>3.92904953145917</v>
      </c>
      <c r="D21" s="957">
        <f>IF(ISNUMBER('Resol  Asuntos'!D21/NºAsuntos!G21),'Resol  Asuntos'!D21/NºAsuntos!G21," - ")</f>
        <v>0.18206157965194109</v>
      </c>
      <c r="E21" s="958">
        <f>IF(ISNUMBER((NºAsuntos!C21+NºAsuntos!E21)/NºAsuntos!G21),(NºAsuntos!C21+NºAsuntos!E21)/NºAsuntos!G21," - ")</f>
        <v>4.9986613119143239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IXdQ2s8jQLx4SqOPrhFTWgNTPCcvvwnS+n3Zjx3yz4yQWRSp0T26jWUxWYng72eQA0DlkhvJF2EDIy1wE5LAoA==" saltValue="iS0CX3CHyncnnMWddlS4z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CANGAS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14</v>
      </c>
      <c r="G10" s="343">
        <f>IF(ISNUMBER(Datos!I10),Datos!I10," - ")</f>
        <v>14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17</v>
      </c>
      <c r="AB10" s="344">
        <f>IF(ISNUMBER(Datos!R10),Datos!R10," - ")</f>
        <v>19</v>
      </c>
      <c r="AC10" s="344">
        <f t="shared" ref="AC10:AC13" si="1">IF(ISNUMBER(AA10+AB10),AA10+AB10," - ")</f>
        <v>36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0.4</v>
      </c>
      <c r="AM10" s="265">
        <f>IF(ISNUMBER(((NºAsuntos!I10/NºAsuntos!G10)*11)/factor_trimestre),((NºAsuntos!I10/NºAsuntos!G10)*11)/factor_trimestre," - ")</f>
        <v>25.5</v>
      </c>
      <c r="AN10" s="249">
        <f>IF(ISNUMBER('Resol  Asuntos'!D10/NºAsuntos!G10),'Resol  Asuntos'!D10/NºAsuntos!G10," - ")</f>
        <v>1</v>
      </c>
      <c r="AO10" s="250">
        <f>IF(ISNUMBER((NºAsuntos!C10+NºAsuntos!E10)/NºAsuntos!G10),(NºAsuntos!C10+NºAsuntos!E10)/NºAsuntos!G10," - ")</f>
        <v>9.5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118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53</v>
      </c>
      <c r="Y12" s="344">
        <f t="shared" si="0"/>
        <v>53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2588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80</v>
      </c>
      <c r="AJ12" s="234" t="str">
        <f>IF(ISNUMBER(Datos!BW12),Datos!BW12," - ")</f>
        <v xml:space="preserve"> - </v>
      </c>
      <c r="AK12" s="233" t="str">
        <f>IF(ISNUMBER(Datos!BX12),Datos!BX12," - ")</f>
        <v xml:space="preserve"> - </v>
      </c>
      <c r="AL12" s="248">
        <f>IF(ISNUMBER(NºAsuntos!G12/NºAsuntos!E12),NºAsuntos!G12/NºAsuntos!E12," - ")</f>
        <v>0.60209424083769636</v>
      </c>
      <c r="AM12" s="265">
        <f>IF(ISNUMBER(((NºAsuntos!I12/NºAsuntos!G12)*11)/factor_trimestre),((NºAsuntos!I12/NºAsuntos!G12)*11)/factor_trimestre," - ")</f>
        <v>18.65217391304348</v>
      </c>
      <c r="AN12" s="249">
        <f>IF(ISNUMBER('Resol  Asuntos'!D12/NºAsuntos!G12),'Resol  Asuntos'!D12/NºAsuntos!G12," - ")</f>
        <v>0.2318840579710145</v>
      </c>
      <c r="AO12" s="250">
        <f>IF(ISNUMBER((NºAsuntos!C12+NºAsuntos!E12)/NºAsuntos!G12),(NºAsuntos!C12+NºAsuntos!E12)/NºAsuntos!G12," - ")</f>
        <v>7.3884057971014494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14</v>
      </c>
      <c r="G14" s="1013">
        <f t="shared" si="5"/>
        <v>14</v>
      </c>
      <c r="H14" s="1012">
        <f t="shared" si="5"/>
        <v>0</v>
      </c>
      <c r="I14" s="1014">
        <f t="shared" si="5"/>
        <v>0</v>
      </c>
      <c r="J14" s="1014">
        <f t="shared" si="5"/>
        <v>0</v>
      </c>
      <c r="K14" s="1014">
        <f t="shared" si="5"/>
        <v>0</v>
      </c>
      <c r="L14" s="1014">
        <f t="shared" si="5"/>
        <v>118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53</v>
      </c>
      <c r="Y14" s="1015">
        <f t="shared" si="6"/>
        <v>55</v>
      </c>
      <c r="Z14" s="1015">
        <f t="shared" si="6"/>
        <v>0</v>
      </c>
      <c r="AA14" s="1015">
        <f t="shared" si="6"/>
        <v>17</v>
      </c>
      <c r="AB14" s="1015">
        <f t="shared" si="6"/>
        <v>2607</v>
      </c>
      <c r="AC14" s="1015">
        <f t="shared" si="6"/>
        <v>36</v>
      </c>
      <c r="AD14" s="1015">
        <f t="shared" si="6"/>
        <v>0</v>
      </c>
      <c r="AE14" s="1019">
        <f t="shared" si="6"/>
        <v>0</v>
      </c>
      <c r="AF14" s="1012">
        <f t="shared" si="6"/>
        <v>0</v>
      </c>
      <c r="AG14" s="1020">
        <f t="shared" si="6"/>
        <v>0</v>
      </c>
      <c r="AH14" s="1017">
        <f t="shared" si="6"/>
        <v>0</v>
      </c>
      <c r="AI14" s="1012">
        <f t="shared" si="6"/>
        <v>82</v>
      </c>
      <c r="AJ14" s="1014">
        <f t="shared" si="6"/>
        <v>0</v>
      </c>
      <c r="AK14" s="1017">
        <f>SUBTOTAL(9,AK9:AK13)</f>
        <v>0</v>
      </c>
      <c r="AL14" s="1021">
        <f>IF(ISNUMBER(NºAsuntos!G14/NºAsuntos!E14),NºAsuntos!G14/NºAsuntos!E14," - ")</f>
        <v>0.60034602076124566</v>
      </c>
      <c r="AM14" s="1021">
        <f>IF(ISNUMBER(((NºAsuntos!I14/NºAsuntos!G14)*11)/factor_trimestre),((NºAsuntos!I14/NºAsuntos!G14)*11)/factor_trimestre," - ")</f>
        <v>18.691642651296828</v>
      </c>
      <c r="AN14" s="1022">
        <f>IF(ISNUMBER('Resol  Asuntos'!D14/NºAsuntos!G14),'Resol  Asuntos'!D14/NºAsuntos!G14," - ")</f>
        <v>0.23631123919308358</v>
      </c>
      <c r="AO14" s="1023">
        <f>IF(ISNUMBER((NºAsuntos!C14+NºAsuntos!E14)/NºAsuntos!G14),(NºAsuntos!C14+NºAsuntos!E14)/NºAsuntos!G14," - ")</f>
        <v>7.4005763688760808</v>
      </c>
      <c r="AP14" s="1024" t="str">
        <f t="shared" si="2"/>
        <v xml:space="preserve"> - </v>
      </c>
      <c r="AQ14" s="1024">
        <f>IF(ISNUMBER((H14-W14+K14)/(F14)),(H14-W14+K14)/(F14)," - ")</f>
        <v>-0.14285714285714285</v>
      </c>
      <c r="AR14" s="1025">
        <f>IF(ISNUMBER((Datos!P14-Datos!Q14)/(Datos!R14-Datos!P14+Datos!Q14)),(Datos!P14-Datos!Q14)/(Datos!R14-Datos!P14+Datos!Q14)," - ")</f>
        <v>2.5570416994492525E-2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669</v>
      </c>
      <c r="G17" s="343">
        <f>IF(ISNUMBER(IF(D_I="SI",Datos!I17,Datos!I17+Datos!AC17)),IF(D_I="SI",Datos!I17,Datos!I17+Datos!AC17)," - ")</f>
        <v>662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352</v>
      </c>
      <c r="X17" s="231">
        <f>IF(ISNUMBER(Datos!Q17),Datos!Q17," - ")</f>
        <v>3</v>
      </c>
      <c r="Y17" s="344">
        <f t="shared" ref="Y17:Y19" si="9">SUM(W17:X17)</f>
        <v>355</v>
      </c>
      <c r="Z17" s="345" t="str">
        <f>IF(ISNUMBER(Datos!CC17),Datos!CC17," - ")</f>
        <v xml:space="preserve"> - </v>
      </c>
      <c r="AA17" s="342">
        <f>IF(ISNUMBER(IF(D_I="SI",Datos!L17,Datos!L17+Datos!AF17)),IF(D_I="SI",Datos!L17,Datos!L17+Datos!AF17)," - ")</f>
        <v>733</v>
      </c>
      <c r="AB17" s="344">
        <f>IF(ISNUMBER(Datos!R17),Datos!R17," - ")</f>
        <v>92</v>
      </c>
      <c r="AC17" s="344">
        <f t="shared" si="8"/>
        <v>825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51</v>
      </c>
      <c r="AJ17" s="236" t="str">
        <f>IF(ISNUMBER(Datos!BW17),Datos!BW17," - ")</f>
        <v xml:space="preserve"> - </v>
      </c>
      <c r="AK17" s="237" t="str">
        <f>IF(ISNUMBER(Datos!BX17),Datos!BX17," - ")</f>
        <v xml:space="preserve"> - </v>
      </c>
      <c r="AL17" s="248">
        <f>IF(ISNUMBER(NºAsuntos!G17/NºAsuntos!E17),NºAsuntos!G17/NºAsuntos!E17," - ")</f>
        <v>0.84615384615384615</v>
      </c>
      <c r="AM17" s="265">
        <f>IF(ISNUMBER(((NºAsuntos!I17/NºAsuntos!G17)*11)/factor_trimestre),((NºAsuntos!I17/NºAsuntos!G17)*11)/factor_trimestre," - ")</f>
        <v>6.2471590909090908</v>
      </c>
      <c r="AN17" s="249">
        <f>IF(ISNUMBER('Resol  Asuntos'!D17/NºAsuntos!G17),'Resol  Asuntos'!D17/NºAsuntos!G17," - ")</f>
        <v>0.14488636363636365</v>
      </c>
      <c r="AO17" s="250">
        <f>IF(ISNUMBER((NºAsuntos!C17+NºAsuntos!E17)/NºAsuntos!G17),(NºAsuntos!C17+NºAsuntos!E17)/NºAsuntos!G17," - ")</f>
        <v>3.0625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48</v>
      </c>
      <c r="X18" s="231">
        <f>IF(ISNUMBER(Datos!Q18),Datos!Q18," - ")</f>
        <v>0</v>
      </c>
      <c r="Y18" s="344">
        <f t="shared" si="9"/>
        <v>48</v>
      </c>
      <c r="Z18" s="345" t="str">
        <f>IF(ISNUMBER(Datos!CC18),Datos!CC18," - ")</f>
        <v xml:space="preserve"> - </v>
      </c>
      <c r="AA18" s="342">
        <f>IF(ISNUMBER(Datos!L18),Datos!L18,"-")</f>
        <v>40</v>
      </c>
      <c r="AB18" s="344">
        <f>IF(ISNUMBER(Datos!R18),Datos!R18," - ")</f>
        <v>0</v>
      </c>
      <c r="AC18" s="344">
        <f t="shared" si="8"/>
        <v>40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1.6551724137931034</v>
      </c>
      <c r="AM18" s="265">
        <f>IF(ISNUMBER(((NºAsuntos!I18/NºAsuntos!G18)*11)/factor_trimestre),((NºAsuntos!I18/NºAsuntos!G18)*11)/factor_trimestre," - ")</f>
        <v>2.5000000000000004</v>
      </c>
      <c r="AN18" s="249">
        <f>IF(ISNUMBER('Resol  Asuntos'!D18/NºAsuntos!G18),'Resol  Asuntos'!D18/NºAsuntos!G18," - ")</f>
        <v>6.25E-2</v>
      </c>
      <c r="AO18" s="250">
        <f>IF(ISNUMBER((NºAsuntos!C18+NºAsuntos!E18)/NºAsuntos!G18),(NºAsuntos!C18+NºAsuntos!E18)/NºAsuntos!G18," - ")</f>
        <v>1.8333333333333333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669</v>
      </c>
      <c r="G20" s="1013">
        <f>SUBTOTAL(9,G16:G19)</f>
        <v>721</v>
      </c>
      <c r="H20" s="1012">
        <f t="shared" ref="H20:O20" si="12">SUBTOTAL(9,H15:H19)</f>
        <v>0</v>
      </c>
      <c r="I20" s="1014">
        <f t="shared" si="12"/>
        <v>0</v>
      </c>
      <c r="J20" s="1014">
        <f t="shared" si="12"/>
        <v>0</v>
      </c>
      <c r="K20" s="1014">
        <f t="shared" si="12"/>
        <v>0</v>
      </c>
      <c r="L20" s="1014">
        <f t="shared" si="12"/>
        <v>28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400</v>
      </c>
      <c r="X20" s="1014">
        <f t="shared" si="13"/>
        <v>3</v>
      </c>
      <c r="Y20" s="1015">
        <f t="shared" si="13"/>
        <v>403</v>
      </c>
      <c r="Z20" s="1015">
        <f t="shared" si="13"/>
        <v>0</v>
      </c>
      <c r="AA20" s="1015">
        <f t="shared" si="13"/>
        <v>773</v>
      </c>
      <c r="AB20" s="1015">
        <f t="shared" si="13"/>
        <v>92</v>
      </c>
      <c r="AC20" s="1015">
        <f t="shared" si="13"/>
        <v>865</v>
      </c>
      <c r="AD20" s="1015">
        <f t="shared" si="13"/>
        <v>0</v>
      </c>
      <c r="AE20" s="1019">
        <f t="shared" si="13"/>
        <v>0</v>
      </c>
      <c r="AF20" s="1012">
        <f t="shared" si="13"/>
        <v>0</v>
      </c>
      <c r="AG20" s="1020">
        <f t="shared" si="13"/>
        <v>0</v>
      </c>
      <c r="AH20" s="1017">
        <f t="shared" si="13"/>
        <v>0</v>
      </c>
      <c r="AI20" s="1012">
        <f t="shared" si="13"/>
        <v>54</v>
      </c>
      <c r="AJ20" s="1014">
        <f t="shared" si="13"/>
        <v>0</v>
      </c>
      <c r="AK20" s="1017">
        <f t="shared" si="13"/>
        <v>0</v>
      </c>
      <c r="AL20" s="1021">
        <f>IF(ISNUMBER(NºAsuntos!G20/NºAsuntos!E20),NºAsuntos!G20/NºAsuntos!E20," - ")</f>
        <v>0.898876404494382</v>
      </c>
      <c r="AM20" s="1021">
        <f>IF(ISNUMBER(((NºAsuntos!I20/NºAsuntos!G20)*11)/factor_trimestre),((NºAsuntos!I20/NºAsuntos!G20)*11)/factor_trimestre," - ")</f>
        <v>5.7975000000000003</v>
      </c>
      <c r="AN20" s="1022">
        <f>IF(ISNUMBER('Resol  Asuntos'!D20/NºAsuntos!G20),'Resol  Asuntos'!D20/NºAsuntos!G20," - ")</f>
        <v>0.13500000000000001</v>
      </c>
      <c r="AO20" s="1023">
        <f>IF(ISNUMBER((NºAsuntos!C20+NºAsuntos!E20)/NºAsuntos!G20),(NºAsuntos!C20+NºAsuntos!E20)/NºAsuntos!G20," - ")</f>
        <v>2.915</v>
      </c>
      <c r="AP20" s="1024" t="str">
        <f t="shared" si="2"/>
        <v xml:space="preserve"> - </v>
      </c>
      <c r="AQ20" s="1024">
        <f>IF(ISNUMBER((H20-W20+K20)/(F20)),(H20-W20+K20)/(F20)," - ")</f>
        <v>-0.59790732436472349</v>
      </c>
      <c r="AR20" s="1025">
        <f>IF(ISNUMBER((Datos!P20-Datos!Q20)/(Datos!R20-Datos!P20+Datos!Q20)),(Datos!P20-Datos!Q20)/(Datos!R20-Datos!P20+Datos!Q20)," - ")</f>
        <v>0.37313432835820898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683</v>
      </c>
      <c r="G21" s="968">
        <f t="shared" si="15"/>
        <v>735</v>
      </c>
      <c r="H21" s="967">
        <f t="shared" si="15"/>
        <v>0</v>
      </c>
      <c r="I21" s="969">
        <f t="shared" si="15"/>
        <v>0</v>
      </c>
      <c r="J21" s="969">
        <f t="shared" si="15"/>
        <v>0</v>
      </c>
      <c r="K21" s="1028">
        <f t="shared" si="15"/>
        <v>0</v>
      </c>
      <c r="L21" s="969">
        <f t="shared" si="15"/>
        <v>146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402</v>
      </c>
      <c r="X21" s="968">
        <f t="shared" si="16"/>
        <v>56</v>
      </c>
      <c r="Y21" s="975">
        <f t="shared" si="16"/>
        <v>458</v>
      </c>
      <c r="Z21" s="975">
        <f t="shared" si="16"/>
        <v>0</v>
      </c>
      <c r="AA21" s="975">
        <f t="shared" si="16"/>
        <v>790</v>
      </c>
      <c r="AB21" s="975">
        <f t="shared" si="16"/>
        <v>2699</v>
      </c>
      <c r="AC21" s="975">
        <f t="shared" si="16"/>
        <v>901</v>
      </c>
      <c r="AD21" s="975">
        <f t="shared" si="16"/>
        <v>0</v>
      </c>
      <c r="AE21" s="977">
        <f t="shared" si="16"/>
        <v>0</v>
      </c>
      <c r="AF21" s="978">
        <f t="shared" si="16"/>
        <v>0</v>
      </c>
      <c r="AG21" s="979">
        <f t="shared" si="16"/>
        <v>0</v>
      </c>
      <c r="AH21" s="977">
        <f t="shared" si="16"/>
        <v>0</v>
      </c>
      <c r="AI21" s="967">
        <f t="shared" si="16"/>
        <v>136</v>
      </c>
      <c r="AJ21" s="967">
        <f t="shared" si="16"/>
        <v>0</v>
      </c>
      <c r="AK21" s="977">
        <f t="shared" si="16"/>
        <v>0</v>
      </c>
      <c r="AL21" s="1031">
        <f>IF(ISNUMBER(NºAsuntos!G21/NºAsuntos!E21),NºAsuntos!G21/NºAsuntos!E21," - ")</f>
        <v>0.73020527859237538</v>
      </c>
      <c r="AM21" s="1032">
        <f>IF(ISNUMBER(((NºAsuntos!I21/NºAsuntos!G21)*11)/factor_trimestre),((NºAsuntos!I21/NºAsuntos!G21)*11)/factor_trimestre," - ")</f>
        <v>11.787148594377511</v>
      </c>
      <c r="AN21" s="1032">
        <f>IF(ISNUMBER('Resol  Asuntos'!D21/NºAsuntos!G21),'Resol  Asuntos'!D21/NºAsuntos!G21," - ")</f>
        <v>0.18206157965194109</v>
      </c>
      <c r="AO21" s="1033">
        <f>IF(ISNUMBER((NºAsuntos!C21+NºAsuntos!E21)/NºAsuntos!G21),(NºAsuntos!C21+NºAsuntos!E21)/NºAsuntos!G21," - ")</f>
        <v>4.9986613119143239</v>
      </c>
      <c r="AP21" s="1034" t="str">
        <f t="shared" si="2"/>
        <v xml:space="preserve"> - </v>
      </c>
      <c r="AQ21" s="1035">
        <f>IF(OR(ISNUMBER(FIND("01",Criterios!A8,1)),ISNUMBER(FIND("02",Criterios!A8,1)),ISNUMBER(FIND("03",Criterios!A8,1)),ISNUMBER(FIND("04",Criterios!A8,1))),(I21-W21+K21)/(F21-K21),(H21-W21+K21)/(F21-K21))</f>
        <v>-0.58857979502196189</v>
      </c>
      <c r="AR21" s="1036">
        <f>IF(ISNUMBER((Datos!P21-Datos!Q21)/(Datos!R21-Datos!P21+Datos!Q21)),(Datos!P21-Datos!Q21)/(Datos!R21-Datos!P21+Datos!Q21)," - ")</f>
        <v>3.4495975469528553E-2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294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378.16442631920489</v>
      </c>
      <c r="G23" s="258">
        <f>IF(ISNUMBER(STDEV(G8:G20)),STDEV(G8:G20),"-")</f>
        <v>363.92925136625115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198.07372364854456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35.562152165844331</v>
      </c>
      <c r="AJ23" s="257">
        <f t="shared" si="20"/>
        <v>0</v>
      </c>
      <c r="AK23" s="259">
        <f t="shared" si="20"/>
        <v>0</v>
      </c>
      <c r="AL23" s="254">
        <f t="shared" si="20"/>
        <v>0.4416810960900111</v>
      </c>
      <c r="AM23" s="255">
        <f t="shared" si="20"/>
        <v>9.2547977352593147</v>
      </c>
      <c r="AN23" s="255">
        <f t="shared" si="20"/>
        <v>0.34824384217767618</v>
      </c>
      <c r="AO23" s="256">
        <f t="shared" si="20"/>
        <v>3.1340480955792893</v>
      </c>
      <c r="AP23" s="296" t="str">
        <f t="shared" si="20"/>
        <v>-</v>
      </c>
      <c r="AQ23" s="297">
        <f t="shared" si="20"/>
        <v>0.32176906912417963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cQsD0r4xPFE/+ZeuvswtYdIchz/EV31Q0ObLBv95eG4yhu9qfV32cGrMKV2uxSNcF7rwHRHbwuW6OcihKjB/Q==" saltValue="nrpNVdJnrkRE7a42ZoYw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CANGAS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v>
      </c>
      <c r="E10" s="358">
        <f>IF(ISNUMBER((Datos!J10-Datos!T10)/Datos!T10),(Datos!J10-Datos!T10)/Datos!T10," - ")</f>
        <v>0.66666666666666663</v>
      </c>
      <c r="F10" s="358">
        <f>IF(ISNUMBER((Datos!K10-Datos!U10)/Datos!U10),(Datos!K10-Datos!U10)/Datos!U10," - ")</f>
        <v>-0.33333333333333331</v>
      </c>
      <c r="G10" s="359">
        <f>IF(ISNUMBER((Datos!L10-Datos!V10)/Datos!V10),(Datos!L10-Datos!V10)/Datos!V10," - ")</f>
        <v>-0.15</v>
      </c>
      <c r="H10" s="235">
        <f>IF(ISNUMBER((Datos!M10-Datos!W10)/Datos!W10),(Datos!M10-Datos!W10)/Datos!W10," - ")</f>
        <v>-0.33333333333333331</v>
      </c>
      <c r="I10" s="360">
        <f>IF(ISNUMBER((Tasas!C10-Datos!BE10)/Datos!BE10),(Tasas!C10-Datos!BE10)/Datos!BE10," - ")</f>
        <v>0.27499999999999997</v>
      </c>
      <c r="J10" s="359">
        <f>IF(ISNUMBER((Tasas!D10-Datos!BF10)/Datos!BF10),(Tasas!D10-Datos!BF10)/Datos!BF10," - ")</f>
        <v>0</v>
      </c>
      <c r="K10" s="361">
        <f>IF(ISNUMBER((Tasas!E10-Datos!BG10)/Datos!BG10),(Tasas!E10-Datos!BG10)/Datos!BG10," - ")</f>
        <v>0.23913043478260865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-0.47712418300653597</v>
      </c>
      <c r="I12" s="360">
        <f>IF(ISNUMBER((Tasas!C12-Datos!BE12)/Datos!BE12),(Tasas!C12-Datos!BE12)/Datos!BE12," - ")</f>
        <v>0.85637749845456412</v>
      </c>
      <c r="J12" s="359">
        <f>IF(ISNUMBER((Tasas!D12-Datos!BF12)/Datos!BF12),(Tasas!D12-Datos!BF12)/Datos!BF12," - ")</f>
        <v>-6.5043478260869578E-2</v>
      </c>
      <c r="K12" s="361">
        <f>IF(ISNUMBER((Tasas!E12-Datos!BG12)/Datos!BG12),(Tasas!E12-Datos!BG12)/Datos!BG12," - ")</f>
        <v>0.69879403364011439</v>
      </c>
      <c r="M12" t="e">
        <f>IF(Monitorios="SI",Datos!CE12,0)</f>
        <v>#REF!</v>
      </c>
      <c r="N12" t="e">
        <f>IF(Monitorios="SI",Datos!CF12,0)</f>
        <v>#REF!</v>
      </c>
      <c r="O12" t="e">
        <f>IF(Monitorios="SI",Datos!CG12,0)</f>
        <v>#REF!</v>
      </c>
      <c r="P12" t="e">
        <f>IF(Monitorios="SI",Datos!CH12,0)</f>
        <v>#REF!</v>
      </c>
      <c r="Q12">
        <f>IF(J_V="SI",0,Datos!AG12)</f>
        <v>124</v>
      </c>
      <c r="R12">
        <f>IF(J_V="SI",0,Datos!AH12)</f>
        <v>54</v>
      </c>
      <c r="S12">
        <f>IF(J_V="SI",0,Datos!AI12)</f>
        <v>64</v>
      </c>
      <c r="T12">
        <f>IF(J_V="SI",0,Datos!AJ12)</f>
        <v>114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-0.47435897435897434</v>
      </c>
      <c r="I14" s="367">
        <f>IF(ISNUMBER((Tasas!C14-Datos!BE14)/Datos!BE14),(Tasas!C14-Datos!BE14)/Datos!BE14," - ")</f>
        <v>0.84946581268686427</v>
      </c>
      <c r="J14" s="365">
        <f>IF(ISNUMBER((Tasas!D14-Datos!BF14)/Datos!BF14),(Tasas!D14-Datos!BF14)/Datos!BF14," - ")</f>
        <v>-6.3985951008645542E-2</v>
      </c>
      <c r="K14" s="368">
        <f>IF(ISNUMBER((Tasas!E14-Datos!BG14)/Datos!BG14),(Tasas!E14-Datos!BG14)/Datos!BG14," - ")</f>
        <v>0.69394682574274158</v>
      </c>
      <c r="M14" t="e">
        <f>IF(Monitorios="SI",Datos!CE14,0)</f>
        <v>#REF!</v>
      </c>
      <c r="N14" t="e">
        <f>IF(Monitorios="SI",Datos!CF14,0)</f>
        <v>#REF!</v>
      </c>
      <c r="O14" t="e">
        <f>IF(Monitorios="SI",Datos!CG14,0)</f>
        <v>#REF!</v>
      </c>
      <c r="P14" t="e">
        <f>IF(Monitorios="SI",Datos!CH14,0)</f>
        <v>#REF!</v>
      </c>
      <c r="Q14">
        <f>IF(J_V="SI",0,Datos!AG14)</f>
        <v>124</v>
      </c>
      <c r="R14">
        <f>IF(J_V="SI",0,Datos!AH14)</f>
        <v>54</v>
      </c>
      <c r="S14">
        <f>IF(J_V="SI",0,Datos!AI14)</f>
        <v>64</v>
      </c>
      <c r="T14">
        <f>IF(J_V="SI",0,Datos!AJ14)</f>
        <v>114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0.30830039525691699</v>
      </c>
      <c r="E17" s="358">
        <f>IF(ISNUMBER(
   IF(D_I="SI",(Datos!J17-Datos!T17)/Datos!T17,(Datos!J17+Datos!AD17-(Datos!T17+Datos!AL17))/(Datos!T17+Datos!AL17))
     ),IF(D_I="SI",(Datos!J17-Datos!T17)/Datos!T17,(Datos!J17+Datos!AD17-(Datos!T17+Datos!AL17))/(Datos!T17+Datos!AL17))," - ")</f>
        <v>-0.31691297208538588</v>
      </c>
      <c r="F17" s="358">
        <f>IF(ISNUMBER(
   IF(D_I="SI",(Datos!K17-Datos!U17)/Datos!U17,(Datos!K17+Datos!AE17-(Datos!U17+Datos!AM17))/(Datos!U17+Datos!AM17))
     ),IF(D_I="SI",(Datos!K17-Datos!U17)/Datos!U17,(Datos!K17+Datos!AE17-(Datos!U17+Datos!AM17))/(Datos!U17+Datos!AM17))," - ")</f>
        <v>-0.41235392320534225</v>
      </c>
      <c r="G17" s="359">
        <f>IF(ISNUMBER(
   IF(D_I="SI",(Datos!L17-Datos!V17)/Datos!V17,(Datos!L17+Datos!AF17-(Datos!V17+Datos!AN17))/(Datos!V17+Datos!AN17))
     ),IF(D_I="SI",(Datos!L17-Datos!V17)/Datos!V17,(Datos!L17+Datos!AF17-(Datos!V17+Datos!AN17))/(Datos!V17+Datos!AN17))," - ")</f>
        <v>0.41505791505791506</v>
      </c>
      <c r="H17" s="235">
        <f>IF(ISNUMBER((Datos!M17-Datos!W17)/Datos!W17),(Datos!M17-Datos!W17)/Datos!W17," - ")</f>
        <v>-0.44565217391304346</v>
      </c>
      <c r="I17" s="360">
        <f>IF(ISNUMBER((Tasas!C17-Datos!BE17)/Datos!BE17),(Tasas!C17-Datos!BE17)/Datos!BE17," - ")</f>
        <v>1.4080104861354863</v>
      </c>
      <c r="J17" s="359">
        <f>IF(ISNUMBER((Tasas!D17-Datos!BF17)/Datos!BF17),(Tasas!D17-Datos!BF17)/Datos!BF17," - ")</f>
        <v>-5.6663784584980149E-2</v>
      </c>
      <c r="K17" s="361">
        <f>IF(ISNUMBER((Tasas!E17-Datos!BG17)/Datos!BG17),(Tasas!E17-Datos!BG17)/Datos!BG17," - ")</f>
        <v>0.64523542600896855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0.13461538461538461</v>
      </c>
      <c r="E18" s="358">
        <f>IF(ISNUMBER(
   IF(D_I="SI",(Datos!J18-Datos!T18)/Datos!T18,(Datos!J18+Datos!AD18-(Datos!T18+Datos!AL18))/(Datos!T18+Datos!AL18))
     ),IF(D_I="SI",(Datos!J18-Datos!T18)/Datos!T18,(Datos!J18+Datos!AD18-(Datos!T18+Datos!AL18))/(Datos!T18+Datos!AL18))," - ")</f>
        <v>-0.17142857142857143</v>
      </c>
      <c r="F18" s="358">
        <f>IF(ISNUMBER(
   IF(D_I="SI",(Datos!K18-Datos!U18)/Datos!U18,(Datos!K18+Datos!AE18-(Datos!U18+Datos!AM18))/(Datos!U18+Datos!AM18))
     ),IF(D_I="SI",(Datos!K18-Datos!U18)/Datos!U18,(Datos!K18+Datos!AE18-(Datos!U18+Datos!AM18))/(Datos!U18+Datos!AM18))," - ")</f>
        <v>0.37142857142857144</v>
      </c>
      <c r="G18" s="359">
        <f>IF(ISNUMBER(
   IF(D_I="SI",(Datos!L18-Datos!V18)/Datos!V18,(Datos!L18+Datos!AF18-(Datos!V18+Datos!AN18))/(Datos!V18+Datos!AN18))
     ),IF(D_I="SI",(Datos!L18-Datos!V18)/Datos!V18,(Datos!L18+Datos!AF18-(Datos!V18+Datos!AN18))/(Datos!V18+Datos!AN18))," - ")</f>
        <v>-0.23076923076923078</v>
      </c>
      <c r="H18" s="235">
        <f>IF(ISNUMBER((Datos!M18-Datos!W18)/Datos!W18),(Datos!M18-Datos!W18)/Datos!W18," - ")</f>
        <v>0.5</v>
      </c>
      <c r="I18" s="360">
        <f>IF(ISNUMBER((Tasas!C18-Datos!BE18)/Datos!BE18),(Tasas!C18-Datos!BE18)/Datos!BE18," - ")</f>
        <v>-0.4391025641025641</v>
      </c>
      <c r="J18" s="359">
        <f>IF(ISNUMBER((Tasas!D18-Datos!BF18)/Datos!BF18),(Tasas!D18-Datos!BF18)/Datos!BF18," - ")</f>
        <v>9.3750000000000028E-2</v>
      </c>
      <c r="K18" s="361">
        <f>IF(ISNUMBER((Tasas!E18-Datos!BG18)/Datos!BG18),(Tasas!E18-Datos!BG18)/Datos!BG18," - ")</f>
        <v>-0.26245210727969354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0.29211469534050177</v>
      </c>
      <c r="E20" s="364">
        <f>IF(ISNUMBER(
   IF(D_I="SI",(Datos!J20-Datos!T20)/Datos!T20,(Datos!J20+Datos!AD20-(Datos!T20+Datos!AL20))/(Datos!T20+Datos!AL20))
     ),IF(D_I="SI",(Datos!J20-Datos!T20)/Datos!T20,(Datos!J20+Datos!AD20-(Datos!T20+Datos!AL20))/(Datos!T20+Datos!AL20))," - ")</f>
        <v>-0.30900621118012422</v>
      </c>
      <c r="F20" s="364">
        <f>IF(ISNUMBER(
   IF(D_I="SI",(Datos!K20-Datos!U20)/Datos!U20,(Datos!K20+Datos!AE20-(Datos!U20+Datos!AM20))/(Datos!U20+Datos!AM20))
     ),IF(D_I="SI",(Datos!K20-Datos!U20)/Datos!U20,(Datos!K20+Datos!AE20-(Datos!U20+Datos!AM20))/(Datos!U20+Datos!AM20))," - ")</f>
        <v>-0.36908517350157727</v>
      </c>
      <c r="G20" s="365">
        <f>IF(ISNUMBER(
   IF(D_I="SI",(Datos!L20-Datos!V20)/Datos!V20,(Datos!L20+Datos!AF20-(Datos!V20+Datos!AN20))/(Datos!V20+Datos!AN20))
     ),IF(D_I="SI",(Datos!L20-Datos!V20)/Datos!V20,(Datos!L20+Datos!AF20-(Datos!V20+Datos!AN20))/(Datos!V20+Datos!AN20))," - ")</f>
        <v>0.35614035087719298</v>
      </c>
      <c r="H20" s="366">
        <f>IF(ISNUMBER((Datos!M20-Datos!W20)/Datos!W20),(Datos!M20-Datos!W20)/Datos!W20," - ")</f>
        <v>-0.42553191489361702</v>
      </c>
      <c r="I20" s="367">
        <f>IF(ISNUMBER((Tasas!C20-Datos!BE20)/Datos!BE20),(Tasas!C20-Datos!BE20)/Datos!BE20," - ")</f>
        <v>1.1494824561403512</v>
      </c>
      <c r="J20" s="365">
        <f>IF(ISNUMBER((Tasas!D20-Datos!BF20)/Datos!BF20),(Tasas!D20-Datos!BF20)/Datos!BF20," - ")</f>
        <v>-8.9468085106382877E-2</v>
      </c>
      <c r="K20" s="368">
        <f>IF(ISNUMBER((Tasas!E20-Datos!BG20)/Datos!BG20),(Tasas!E20-Datos!BG20)/Datos!BG20," - ")</f>
        <v>0.53752911813643933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0.23789954337899544</v>
      </c>
      <c r="E21" s="373">
        <f>IF(ISNUMBER(
   IF(J_V="SI",(Datos!J21-Datos!T21)/Datos!T21,(Datos!J21+Datos!Z21-(Datos!T21+Datos!AH21))/(Datos!T21+Datos!AH21))
     ),IF(J_V="SI",(Datos!J21-Datos!T21)/Datos!T21,(Datos!J21+Datos!Z21-(Datos!T21+Datos!AH21))/(Datos!T21+Datos!AH21))," - ")</f>
        <v>-0.16625916870415647</v>
      </c>
      <c r="F21" s="373">
        <f>IF(ISNUMBER(
   IF(J_V="SI",(Datos!K21-Datos!U21)/Datos!U21,(Datos!K21+Datos!AA21-(Datos!U21+Datos!AI21))/(Datos!U21+Datos!AI21))
     ),IF(J_V="SI",(Datos!K21-Datos!U21)/Datos!U21,(Datos!K21+Datos!AA21-(Datos!U21+Datos!AI21))/(Datos!U21+Datos!AI21))," - ")</f>
        <v>-0.3453111305872042</v>
      </c>
      <c r="G21" s="374">
        <f>IF(ISNUMBER(
   IF(J_V="SI",(Datos!L21-Datos!V21)/Datos!V21,(Datos!L21+Datos!AB21-(Datos!V21+Datos!AJ21))/(Datos!V21+Datos!AJ21))
     ),IF(J_V="SI",(Datos!L21-Datos!V21)/Datos!V21,(Datos!L21+Datos!AB21-(Datos!V21+Datos!AJ21))/(Datos!V21+Datos!AJ21))," - ")</f>
        <v>0.28841088674275678</v>
      </c>
      <c r="H21" s="375">
        <f>IF(ISNUMBER((Datos!M21-Datos!W21)/Datos!W21),(Datos!M21-Datos!W21)/Datos!W21," - ")</f>
        <v>-0.45600000000000002</v>
      </c>
      <c r="I21" s="372">
        <f>IF(ISNUMBER((Tasas!C21-Datos!BE21)/Datos!BE21),(Tasas!C21-Datos!BE21)/Datos!BE21," - ")</f>
        <v>0.96797432633666058</v>
      </c>
      <c r="J21" s="373">
        <f>IF(ISNUMBER((Tasas!D21-Datos!BF21)/Datos!BF21),(Tasas!D21-Datos!BF21)/Datos!BF21," - ")</f>
        <v>-6.4269088365473986E-2</v>
      </c>
      <c r="K21" s="374">
        <f>IF(ISNUMBER((Tasas!E21-Datos!BG21)/Datos!BG21),(Tasas!E21-Datos!BG21)/Datos!BG21," - ")</f>
        <v>0.66914619751075322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0.28354220857667967</v>
      </c>
      <c r="E23" s="283">
        <f t="shared" si="1"/>
        <v>0.47098530878657852</v>
      </c>
      <c r="F23" s="283">
        <f t="shared" si="1"/>
        <v>0.37291191767501936</v>
      </c>
      <c r="G23" s="284">
        <f t="shared" si="1"/>
        <v>0.33503967544647434</v>
      </c>
      <c r="H23" s="290">
        <f t="shared" si="1"/>
        <v>0.38377128201443628</v>
      </c>
      <c r="I23" s="282">
        <f t="shared" si="1"/>
        <v>0.66732220423985145</v>
      </c>
      <c r="J23" s="283">
        <f t="shared" si="1"/>
        <v>6.7593241272191545E-2</v>
      </c>
      <c r="K23" s="284">
        <f t="shared" si="1"/>
        <v>0.37831180619407795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l0JZxIn1r5IW3Qmzx/D4DqKMrFDqJ2/EW5jwEy48AooCIuQBprENJeo/udjp3QPbWAOT+zCMndIt5WHV0VbhA==" saltValue="6EjPjd/+nsnp1dKN7F4FP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